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media\Downloads\pro cosmo pravda\"/>
    </mc:Choice>
  </mc:AlternateContent>
  <xr:revisionPtr revIDLastSave="0" documentId="8_{7D31C234-0A8E-45D9-92FA-2D46040EDA2B}" xr6:coauthVersionLast="47" xr6:coauthVersionMax="47" xr10:uidLastSave="{00000000-0000-0000-0000-000000000000}"/>
  <bookViews>
    <workbookView xWindow="-120" yWindow="-120" windowWidth="51840" windowHeight="21120" xr2:uid="{00000000-000D-0000-FFFF-FFFF00000000}"/>
  </bookViews>
  <sheets>
    <sheet name="Финансовая модель" sheetId="1" r:id="rId1"/>
    <sheet name="ДДС" sheetId="2" state="hidden" r:id="rId2"/>
    <sheet name="Планирование запасов" sheetId="3" state="hidden" r:id="rId3"/>
    <sheet name="Финмодель c кредитом" sheetId="4" state="hidden" r:id="rId4"/>
    <sheet name="Расчетный лист" sheetId="5" state="hidden" r:id="rId5"/>
    <sheet name="Записка к финмодели" sheetId="6" r:id="rId6"/>
  </sheets>
  <externalReferences>
    <externalReference r:id="rId7"/>
  </externalReference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90" i="5" l="1"/>
  <c r="C92" i="5" s="1"/>
  <c r="C85" i="5"/>
  <c r="C83" i="5"/>
  <c r="N67" i="5"/>
  <c r="M67" i="5"/>
  <c r="L67" i="5"/>
  <c r="K67" i="5"/>
  <c r="J67" i="5"/>
  <c r="I67" i="5"/>
  <c r="H67" i="5"/>
  <c r="G67" i="5"/>
  <c r="F67" i="5"/>
  <c r="E67" i="5"/>
  <c r="D67" i="5"/>
  <c r="C67" i="5"/>
  <c r="N66" i="5"/>
  <c r="M66" i="5"/>
  <c r="L66" i="5"/>
  <c r="K66" i="5"/>
  <c r="J66" i="5"/>
  <c r="I66" i="5"/>
  <c r="H66" i="5"/>
  <c r="G66" i="5"/>
  <c r="F66" i="5"/>
  <c r="E66" i="5"/>
  <c r="D66" i="5"/>
  <c r="C66" i="5"/>
  <c r="N65" i="5"/>
  <c r="M65" i="5"/>
  <c r="L65" i="5"/>
  <c r="K65" i="5"/>
  <c r="J65" i="5"/>
  <c r="I65" i="5"/>
  <c r="H65" i="5"/>
  <c r="G65" i="5"/>
  <c r="F65" i="5"/>
  <c r="E65" i="5"/>
  <c r="D65" i="5"/>
  <c r="C65" i="5"/>
  <c r="B63" i="5"/>
  <c r="B62" i="5"/>
  <c r="B61" i="5"/>
  <c r="B57" i="5"/>
  <c r="B56" i="5"/>
  <c r="B55" i="5"/>
  <c r="B45" i="5"/>
  <c r="B44" i="5"/>
  <c r="P43" i="5"/>
  <c r="O43" i="5"/>
  <c r="N43" i="5"/>
  <c r="M43" i="5"/>
  <c r="L43" i="5"/>
  <c r="K43" i="5"/>
  <c r="J43" i="5"/>
  <c r="I43" i="5"/>
  <c r="H43" i="5"/>
  <c r="F43" i="5"/>
  <c r="E43" i="5"/>
  <c r="D43" i="5"/>
  <c r="C43" i="5"/>
  <c r="G43" i="5" s="1"/>
  <c r="B43" i="5" s="1"/>
  <c r="C47" i="4" s="1"/>
  <c r="B42" i="5"/>
  <c r="P41" i="5"/>
  <c r="O41" i="5"/>
  <c r="N41" i="5"/>
  <c r="M41" i="5"/>
  <c r="L41" i="5"/>
  <c r="K41" i="5"/>
  <c r="J41" i="5"/>
  <c r="I41" i="5"/>
  <c r="H41" i="5"/>
  <c r="F41" i="5"/>
  <c r="E41" i="5"/>
  <c r="D41" i="5"/>
  <c r="C41" i="5"/>
  <c r="B40" i="5"/>
  <c r="P39" i="5"/>
  <c r="O39" i="5"/>
  <c r="N39" i="5"/>
  <c r="M39" i="5"/>
  <c r="L39" i="5"/>
  <c r="K39" i="5"/>
  <c r="J39" i="5"/>
  <c r="I39" i="5"/>
  <c r="H39" i="5"/>
  <c r="F39" i="5"/>
  <c r="E39" i="5"/>
  <c r="D39" i="5"/>
  <c r="C39" i="5"/>
  <c r="G39" i="5" s="1"/>
  <c r="B38" i="5"/>
  <c r="G34" i="5"/>
  <c r="F34" i="5"/>
  <c r="E34" i="5"/>
  <c r="D34" i="5"/>
  <c r="C34" i="5"/>
  <c r="B33" i="5"/>
  <c r="B32" i="5"/>
  <c r="P31" i="5"/>
  <c r="O31" i="5"/>
  <c r="N31" i="5"/>
  <c r="M31" i="5"/>
  <c r="L31" i="5"/>
  <c r="K31" i="5"/>
  <c r="J31" i="5"/>
  <c r="I31" i="5"/>
  <c r="H31" i="5"/>
  <c r="G31" i="5"/>
  <c r="F31" i="5"/>
  <c r="E31" i="5"/>
  <c r="D31" i="5"/>
  <c r="C31" i="5"/>
  <c r="B31" i="5"/>
  <c r="B30" i="5"/>
  <c r="B34" i="5" s="1"/>
  <c r="P29" i="5"/>
  <c r="O29" i="5"/>
  <c r="N29" i="5"/>
  <c r="M29" i="5"/>
  <c r="L29" i="5"/>
  <c r="K29" i="5"/>
  <c r="J29" i="5"/>
  <c r="I29" i="5"/>
  <c r="H29" i="5"/>
  <c r="G29" i="5"/>
  <c r="F29" i="5"/>
  <c r="E29" i="5"/>
  <c r="D29" i="5"/>
  <c r="C29" i="5"/>
  <c r="B29" i="5"/>
  <c r="B28" i="5"/>
  <c r="P27" i="5"/>
  <c r="O27" i="5"/>
  <c r="N27" i="5"/>
  <c r="M27" i="5"/>
  <c r="L27" i="5"/>
  <c r="K27" i="5"/>
  <c r="J27" i="5"/>
  <c r="I27" i="5"/>
  <c r="H27" i="5"/>
  <c r="G27" i="5"/>
  <c r="F27" i="5"/>
  <c r="B27" i="5" s="1"/>
  <c r="E27" i="5"/>
  <c r="D27" i="5"/>
  <c r="C27" i="5"/>
  <c r="B26" i="5"/>
  <c r="B23" i="5"/>
  <c r="B22" i="5"/>
  <c r="P21" i="5"/>
  <c r="O21" i="5"/>
  <c r="N21" i="5"/>
  <c r="M21" i="5"/>
  <c r="L21" i="5"/>
  <c r="K21" i="5"/>
  <c r="J21" i="5"/>
  <c r="I21" i="5"/>
  <c r="H21" i="5"/>
  <c r="G21" i="5"/>
  <c r="F21" i="5"/>
  <c r="E21" i="5"/>
  <c r="D21" i="5"/>
  <c r="C21" i="5"/>
  <c r="B21" i="5" s="1"/>
  <c r="B20" i="5"/>
  <c r="P19" i="5"/>
  <c r="O19" i="5"/>
  <c r="N19" i="5"/>
  <c r="M19" i="5"/>
  <c r="L19" i="5"/>
  <c r="K19" i="5"/>
  <c r="J19" i="5"/>
  <c r="I19" i="5"/>
  <c r="H19" i="5"/>
  <c r="G19" i="5"/>
  <c r="F19" i="5"/>
  <c r="E19" i="5"/>
  <c r="D19" i="5"/>
  <c r="C19" i="5"/>
  <c r="B19" i="5" s="1"/>
  <c r="B18" i="5"/>
  <c r="P17" i="5"/>
  <c r="N17" i="5"/>
  <c r="M17" i="5"/>
  <c r="L17" i="5"/>
  <c r="K17" i="5"/>
  <c r="J17" i="5"/>
  <c r="I17" i="5"/>
  <c r="H17" i="5"/>
  <c r="G17" i="5"/>
  <c r="F17" i="5"/>
  <c r="E17" i="5"/>
  <c r="D17" i="5"/>
  <c r="C17" i="5"/>
  <c r="B17" i="5" s="1"/>
  <c r="P16" i="5"/>
  <c r="O16" i="5"/>
  <c r="O17" i="5" s="1"/>
  <c r="B16" i="5"/>
  <c r="N10" i="5"/>
  <c r="N11" i="5" s="1"/>
  <c r="O41" i="4" s="1"/>
  <c r="M10" i="5"/>
  <c r="E10" i="5"/>
  <c r="D10" i="5"/>
  <c r="C10" i="5"/>
  <c r="B10" i="5" s="1"/>
  <c r="N8" i="5"/>
  <c r="M8" i="5"/>
  <c r="E8" i="5"/>
  <c r="D8" i="5"/>
  <c r="C8" i="5"/>
  <c r="N6" i="5"/>
  <c r="M6" i="5"/>
  <c r="L6" i="5"/>
  <c r="K6" i="5"/>
  <c r="J6" i="5"/>
  <c r="I6" i="5"/>
  <c r="H6" i="5"/>
  <c r="G6" i="5"/>
  <c r="F6" i="5"/>
  <c r="E6" i="5"/>
  <c r="D6" i="5"/>
  <c r="C6" i="5"/>
  <c r="C388" i="4"/>
  <c r="D386" i="4"/>
  <c r="C386" i="4"/>
  <c r="Q384" i="4"/>
  <c r="R384" i="4" s="1"/>
  <c r="S384" i="4" s="1"/>
  <c r="T384" i="4" s="1"/>
  <c r="U384" i="4" s="1"/>
  <c r="V384" i="4" s="1"/>
  <c r="W384" i="4" s="1"/>
  <c r="X384" i="4" s="1"/>
  <c r="Y384" i="4" s="1"/>
  <c r="Z384" i="4" s="1"/>
  <c r="AA384" i="4" s="1"/>
  <c r="AB384" i="4" s="1"/>
  <c r="AC384" i="4" s="1"/>
  <c r="AD384" i="4" s="1"/>
  <c r="AE384" i="4" s="1"/>
  <c r="AF384" i="4" s="1"/>
  <c r="AG384" i="4" s="1"/>
  <c r="AH384" i="4" s="1"/>
  <c r="AI384" i="4" s="1"/>
  <c r="AJ384" i="4" s="1"/>
  <c r="AK384" i="4" s="1"/>
  <c r="AL384" i="4" s="1"/>
  <c r="AM384" i="4" s="1"/>
  <c r="E384" i="4"/>
  <c r="F384" i="4" s="1"/>
  <c r="G384" i="4" s="1"/>
  <c r="H384" i="4" s="1"/>
  <c r="I384" i="4" s="1"/>
  <c r="J384" i="4" s="1"/>
  <c r="K384" i="4" s="1"/>
  <c r="L384" i="4" s="1"/>
  <c r="M384" i="4" s="1"/>
  <c r="N384" i="4" s="1"/>
  <c r="O384" i="4" s="1"/>
  <c r="P384" i="4" s="1"/>
  <c r="D384" i="4"/>
  <c r="AM382" i="4"/>
  <c r="AL382" i="4"/>
  <c r="AK382" i="4"/>
  <c r="AJ382" i="4"/>
  <c r="AI382" i="4"/>
  <c r="AH382" i="4"/>
  <c r="AG382" i="4"/>
  <c r="AF382" i="4"/>
  <c r="AE382" i="4"/>
  <c r="AD382" i="4"/>
  <c r="AC382" i="4"/>
  <c r="AB382" i="4"/>
  <c r="AA382" i="4"/>
  <c r="Z382" i="4"/>
  <c r="Y382" i="4"/>
  <c r="X382" i="4"/>
  <c r="W382" i="4"/>
  <c r="V382" i="4"/>
  <c r="U382" i="4"/>
  <c r="T382" i="4"/>
  <c r="S382" i="4"/>
  <c r="R382" i="4"/>
  <c r="Q382" i="4"/>
  <c r="P382" i="4"/>
  <c r="O382" i="4"/>
  <c r="N382" i="4"/>
  <c r="M382" i="4"/>
  <c r="L382" i="4"/>
  <c r="K382" i="4"/>
  <c r="J382" i="4"/>
  <c r="I382" i="4"/>
  <c r="H382" i="4"/>
  <c r="G382" i="4"/>
  <c r="F382" i="4"/>
  <c r="E382" i="4"/>
  <c r="C381" i="4"/>
  <c r="C379" i="4" s="1"/>
  <c r="H377" i="4"/>
  <c r="G377" i="4"/>
  <c r="C377" i="4"/>
  <c r="D374" i="4"/>
  <c r="AM361" i="4"/>
  <c r="AL361" i="4"/>
  <c r="AK361" i="4"/>
  <c r="AJ361" i="4"/>
  <c r="AI361" i="4"/>
  <c r="AH361" i="4"/>
  <c r="AG361" i="4"/>
  <c r="AF361" i="4"/>
  <c r="AE361" i="4"/>
  <c r="AD361" i="4"/>
  <c r="AC361" i="4"/>
  <c r="AB361" i="4"/>
  <c r="AA361" i="4"/>
  <c r="Z361" i="4"/>
  <c r="Y361" i="4"/>
  <c r="X361" i="4"/>
  <c r="W361" i="4"/>
  <c r="V361" i="4"/>
  <c r="U361" i="4"/>
  <c r="T361" i="4"/>
  <c r="S361" i="4"/>
  <c r="R361" i="4"/>
  <c r="Q361" i="4"/>
  <c r="P361" i="4"/>
  <c r="O361" i="4"/>
  <c r="N361" i="4"/>
  <c r="M361" i="4"/>
  <c r="L361" i="4"/>
  <c r="K361" i="4"/>
  <c r="J361" i="4"/>
  <c r="I361" i="4"/>
  <c r="H361" i="4"/>
  <c r="G361" i="4"/>
  <c r="F361" i="4"/>
  <c r="E361" i="4"/>
  <c r="D361" i="4"/>
  <c r="AM356" i="4"/>
  <c r="AL356" i="4"/>
  <c r="AK356" i="4"/>
  <c r="AJ356" i="4"/>
  <c r="AI356" i="4"/>
  <c r="AH356" i="4"/>
  <c r="AG356" i="4"/>
  <c r="AF356" i="4"/>
  <c r="AE356" i="4"/>
  <c r="AD356" i="4"/>
  <c r="AC356" i="4"/>
  <c r="AB356" i="4"/>
  <c r="AA356" i="4"/>
  <c r="Z356" i="4"/>
  <c r="Y356" i="4"/>
  <c r="X356" i="4"/>
  <c r="W356" i="4"/>
  <c r="V356" i="4"/>
  <c r="U356" i="4"/>
  <c r="T356" i="4"/>
  <c r="S356" i="4"/>
  <c r="R356" i="4"/>
  <c r="Q356" i="4"/>
  <c r="P356" i="4"/>
  <c r="O356" i="4"/>
  <c r="N356" i="4"/>
  <c r="M356" i="4"/>
  <c r="L356" i="4"/>
  <c r="K356" i="4"/>
  <c r="J356" i="4"/>
  <c r="I356" i="4"/>
  <c r="H356" i="4"/>
  <c r="G356" i="4"/>
  <c r="F356" i="4"/>
  <c r="E356" i="4"/>
  <c r="D356" i="4"/>
  <c r="X353" i="4"/>
  <c r="G353" i="4"/>
  <c r="G351" i="4"/>
  <c r="F351" i="4"/>
  <c r="E351" i="4"/>
  <c r="D351" i="4"/>
  <c r="E350" i="4"/>
  <c r="D350" i="4"/>
  <c r="AM348" i="4"/>
  <c r="AL348" i="4"/>
  <c r="AK348" i="4"/>
  <c r="AJ348" i="4"/>
  <c r="AI348" i="4"/>
  <c r="AH348" i="4"/>
  <c r="AG348" i="4"/>
  <c r="AF348" i="4"/>
  <c r="AE348" i="4"/>
  <c r="AD348" i="4"/>
  <c r="AC348" i="4"/>
  <c r="AB348" i="4"/>
  <c r="AA348" i="4"/>
  <c r="Z348" i="4"/>
  <c r="Y348" i="4"/>
  <c r="X348" i="4"/>
  <c r="W348" i="4"/>
  <c r="V348" i="4"/>
  <c r="U348" i="4"/>
  <c r="T348" i="4"/>
  <c r="S348" i="4"/>
  <c r="R348" i="4"/>
  <c r="Q348" i="4"/>
  <c r="P348" i="4"/>
  <c r="O348" i="4"/>
  <c r="N348" i="4"/>
  <c r="M348" i="4"/>
  <c r="L348" i="4"/>
  <c r="K348" i="4"/>
  <c r="J348" i="4"/>
  <c r="I348" i="4"/>
  <c r="H348" i="4"/>
  <c r="G348" i="4"/>
  <c r="F348" i="4"/>
  <c r="E348" i="4"/>
  <c r="D348" i="4"/>
  <c r="F347" i="4"/>
  <c r="E347" i="4"/>
  <c r="D347" i="4"/>
  <c r="M335" i="4"/>
  <c r="L335" i="4"/>
  <c r="H335" i="4"/>
  <c r="O334" i="4"/>
  <c r="O335" i="4" s="1"/>
  <c r="N334" i="4"/>
  <c r="M334" i="4"/>
  <c r="N333" i="4" s="1"/>
  <c r="L334" i="4"/>
  <c r="K334" i="4"/>
  <c r="K335" i="4" s="1"/>
  <c r="J334" i="4"/>
  <c r="K333" i="4" s="1"/>
  <c r="I334" i="4"/>
  <c r="J333" i="4" s="1"/>
  <c r="H334" i="4"/>
  <c r="I333" i="4" s="1"/>
  <c r="G334" i="4"/>
  <c r="G335" i="4" s="1"/>
  <c r="F334" i="4"/>
  <c r="F335" i="4" s="1"/>
  <c r="E334" i="4"/>
  <c r="E335" i="4" s="1"/>
  <c r="D334" i="4"/>
  <c r="D335" i="4" s="1"/>
  <c r="O333" i="4"/>
  <c r="M333" i="4"/>
  <c r="L333" i="4"/>
  <c r="H333" i="4"/>
  <c r="G333" i="4"/>
  <c r="F333" i="4"/>
  <c r="E333" i="4"/>
  <c r="D333" i="4"/>
  <c r="L329" i="4"/>
  <c r="H329" i="4"/>
  <c r="O328" i="4"/>
  <c r="O329" i="4" s="1"/>
  <c r="N328" i="4"/>
  <c r="M328" i="4"/>
  <c r="L328" i="4"/>
  <c r="M327" i="4" s="1"/>
  <c r="K328" i="4"/>
  <c r="K329" i="4" s="1"/>
  <c r="J328" i="4"/>
  <c r="K327" i="4" s="1"/>
  <c r="I328" i="4"/>
  <c r="J327" i="4" s="1"/>
  <c r="H328" i="4"/>
  <c r="I327" i="4" s="1"/>
  <c r="G328" i="4"/>
  <c r="G329" i="4" s="1"/>
  <c r="F328" i="4"/>
  <c r="F329" i="4" s="1"/>
  <c r="E328" i="4"/>
  <c r="E329" i="4" s="1"/>
  <c r="D328" i="4"/>
  <c r="D329" i="4" s="1"/>
  <c r="O327" i="4"/>
  <c r="L327" i="4"/>
  <c r="H327" i="4"/>
  <c r="G327" i="4"/>
  <c r="F327" i="4"/>
  <c r="E327" i="4"/>
  <c r="D327" i="4"/>
  <c r="D321" i="4"/>
  <c r="AM313" i="4"/>
  <c r="AL313" i="4"/>
  <c r="AK313" i="4"/>
  <c r="AK311" i="4" s="1"/>
  <c r="AK353" i="4" s="1"/>
  <c r="AJ313" i="4"/>
  <c r="AJ311" i="4" s="1"/>
  <c r="AJ353" i="4" s="1"/>
  <c r="AI313" i="4"/>
  <c r="AI311" i="4" s="1"/>
  <c r="AI353" i="4" s="1"/>
  <c r="AH313" i="4"/>
  <c r="AH311" i="4" s="1"/>
  <c r="AH353" i="4" s="1"/>
  <c r="AG313" i="4"/>
  <c r="AG311" i="4" s="1"/>
  <c r="AG353" i="4" s="1"/>
  <c r="AF313" i="4"/>
  <c r="AE313" i="4"/>
  <c r="AD313" i="4"/>
  <c r="AC313" i="4"/>
  <c r="AB313" i="4"/>
  <c r="AA313" i="4"/>
  <c r="Z313" i="4"/>
  <c r="Y313" i="4"/>
  <c r="Y311" i="4" s="1"/>
  <c r="Y353" i="4" s="1"/>
  <c r="X313" i="4"/>
  <c r="X311" i="4" s="1"/>
  <c r="W313" i="4"/>
  <c r="W311" i="4" s="1"/>
  <c r="W353" i="4" s="1"/>
  <c r="V313" i="4"/>
  <c r="V311" i="4" s="1"/>
  <c r="V353" i="4" s="1"/>
  <c r="U313" i="4"/>
  <c r="U311" i="4" s="1"/>
  <c r="U353" i="4" s="1"/>
  <c r="T313" i="4"/>
  <c r="S313" i="4"/>
  <c r="R313" i="4"/>
  <c r="Q313" i="4"/>
  <c r="P313" i="4"/>
  <c r="O313" i="4"/>
  <c r="N313" i="4"/>
  <c r="M313" i="4"/>
  <c r="M311" i="4" s="1"/>
  <c r="M353" i="4" s="1"/>
  <c r="L313" i="4"/>
  <c r="L311" i="4" s="1"/>
  <c r="L353" i="4" s="1"/>
  <c r="K313" i="4"/>
  <c r="K311" i="4" s="1"/>
  <c r="K353" i="4" s="1"/>
  <c r="J313" i="4"/>
  <c r="J311" i="4" s="1"/>
  <c r="J353" i="4" s="1"/>
  <c r="I313" i="4"/>
  <c r="I311" i="4" s="1"/>
  <c r="I353" i="4" s="1"/>
  <c r="H313" i="4"/>
  <c r="AM311" i="4"/>
  <c r="AM353" i="4" s="1"/>
  <c r="AL311" i="4"/>
  <c r="AL353" i="4" s="1"/>
  <c r="AF311" i="4"/>
  <c r="AF353" i="4" s="1"/>
  <c r="AE311" i="4"/>
  <c r="AE353" i="4" s="1"/>
  <c r="AD311" i="4"/>
  <c r="AD353" i="4" s="1"/>
  <c r="AC311" i="4"/>
  <c r="AC353" i="4" s="1"/>
  <c r="AB311" i="4"/>
  <c r="AB353" i="4" s="1"/>
  <c r="AA311" i="4"/>
  <c r="AA353" i="4" s="1"/>
  <c r="Z311" i="4"/>
  <c r="Z353" i="4" s="1"/>
  <c r="T311" i="4"/>
  <c r="T353" i="4" s="1"/>
  <c r="S311" i="4"/>
  <c r="S353" i="4" s="1"/>
  <c r="R311" i="4"/>
  <c r="R353" i="4" s="1"/>
  <c r="Q311" i="4"/>
  <c r="Q353" i="4" s="1"/>
  <c r="P311" i="4"/>
  <c r="P353" i="4" s="1"/>
  <c r="O311" i="4"/>
  <c r="O353" i="4" s="1"/>
  <c r="N311" i="4"/>
  <c r="N353" i="4" s="1"/>
  <c r="H311" i="4"/>
  <c r="H353" i="4" s="1"/>
  <c r="D310" i="4"/>
  <c r="D315" i="4" s="1"/>
  <c r="D309" i="4"/>
  <c r="G308" i="4"/>
  <c r="F308" i="4"/>
  <c r="E308" i="4"/>
  <c r="D308" i="4"/>
  <c r="E307" i="4"/>
  <c r="D307" i="4"/>
  <c r="D306" i="4"/>
  <c r="D305" i="4"/>
  <c r="C304" i="4"/>
  <c r="AM298" i="4"/>
  <c r="AM296" i="4" s="1"/>
  <c r="AM351" i="4" s="1"/>
  <c r="AL298" i="4"/>
  <c r="AK298" i="4"/>
  <c r="AK296" i="4" s="1"/>
  <c r="AK351" i="4" s="1"/>
  <c r="AJ298" i="4"/>
  <c r="AJ296" i="4" s="1"/>
  <c r="AJ351" i="4" s="1"/>
  <c r="AI298" i="4"/>
  <c r="AI296" i="4" s="1"/>
  <c r="AI351" i="4" s="1"/>
  <c r="AH298" i="4"/>
  <c r="AH296" i="4" s="1"/>
  <c r="AH351" i="4" s="1"/>
  <c r="AG298" i="4"/>
  <c r="AF298" i="4"/>
  <c r="AE298" i="4"/>
  <c r="AD298" i="4"/>
  <c r="AC298" i="4"/>
  <c r="AB298" i="4"/>
  <c r="AB296" i="4" s="1"/>
  <c r="AB351" i="4" s="1"/>
  <c r="AA298" i="4"/>
  <c r="AA296" i="4" s="1"/>
  <c r="AA351" i="4" s="1"/>
  <c r="Z298" i="4"/>
  <c r="Y298" i="4"/>
  <c r="Y296" i="4" s="1"/>
  <c r="Y351" i="4" s="1"/>
  <c r="X298" i="4"/>
  <c r="W298" i="4"/>
  <c r="V298" i="4"/>
  <c r="U298" i="4"/>
  <c r="T298" i="4"/>
  <c r="S298" i="4"/>
  <c r="R298" i="4"/>
  <c r="R296" i="4" s="1"/>
  <c r="R351" i="4" s="1"/>
  <c r="Q298" i="4"/>
  <c r="P298" i="4"/>
  <c r="P296" i="4" s="1"/>
  <c r="P351" i="4" s="1"/>
  <c r="O298" i="4"/>
  <c r="O296" i="4" s="1"/>
  <c r="O351" i="4" s="1"/>
  <c r="N298" i="4"/>
  <c r="M298" i="4"/>
  <c r="M296" i="4" s="1"/>
  <c r="M351" i="4" s="1"/>
  <c r="L298" i="4"/>
  <c r="K298" i="4"/>
  <c r="J298" i="4"/>
  <c r="I298" i="4"/>
  <c r="H298" i="4"/>
  <c r="AL296" i="4"/>
  <c r="AL351" i="4" s="1"/>
  <c r="AG296" i="4"/>
  <c r="AG351" i="4" s="1"/>
  <c r="AF296" i="4"/>
  <c r="AF351" i="4" s="1"/>
  <c r="AE296" i="4"/>
  <c r="AE351" i="4" s="1"/>
  <c r="AD296" i="4"/>
  <c r="AD351" i="4" s="1"/>
  <c r="AC296" i="4"/>
  <c r="AC351" i="4" s="1"/>
  <c r="Z296" i="4"/>
  <c r="Z351" i="4" s="1"/>
  <c r="X296" i="4"/>
  <c r="X351" i="4" s="1"/>
  <c r="W296" i="4"/>
  <c r="W351" i="4" s="1"/>
  <c r="V296" i="4"/>
  <c r="V351" i="4" s="1"/>
  <c r="U296" i="4"/>
  <c r="U351" i="4" s="1"/>
  <c r="T296" i="4"/>
  <c r="T351" i="4" s="1"/>
  <c r="S296" i="4"/>
  <c r="S351" i="4" s="1"/>
  <c r="Q296" i="4"/>
  <c r="Q351" i="4" s="1"/>
  <c r="N296" i="4"/>
  <c r="N351" i="4" s="1"/>
  <c r="L296" i="4"/>
  <c r="L351" i="4" s="1"/>
  <c r="K296" i="4"/>
  <c r="K351" i="4" s="1"/>
  <c r="J296" i="4"/>
  <c r="J351" i="4" s="1"/>
  <c r="I296" i="4"/>
  <c r="I351" i="4" s="1"/>
  <c r="H296" i="4"/>
  <c r="H351" i="4" s="1"/>
  <c r="C291" i="4"/>
  <c r="D291" i="4" s="1"/>
  <c r="C289" i="4"/>
  <c r="AQ288" i="4"/>
  <c r="AQ287" i="4"/>
  <c r="AM283" i="4"/>
  <c r="AL283" i="4"/>
  <c r="AL281" i="4" s="1"/>
  <c r="AL350" i="4" s="1"/>
  <c r="AK283" i="4"/>
  <c r="AK281" i="4" s="1"/>
  <c r="AK350" i="4" s="1"/>
  <c r="AJ283" i="4"/>
  <c r="AJ281" i="4" s="1"/>
  <c r="AJ350" i="4" s="1"/>
  <c r="AI283" i="4"/>
  <c r="AI281" i="4" s="1"/>
  <c r="AI350" i="4" s="1"/>
  <c r="AH283" i="4"/>
  <c r="AH281" i="4" s="1"/>
  <c r="AH350" i="4" s="1"/>
  <c r="AG283" i="4"/>
  <c r="AF283" i="4"/>
  <c r="AE283" i="4"/>
  <c r="AD283" i="4"/>
  <c r="AC283" i="4"/>
  <c r="AB283" i="4"/>
  <c r="AA283" i="4"/>
  <c r="Z283" i="4"/>
  <c r="Z281" i="4" s="1"/>
  <c r="Z350" i="4" s="1"/>
  <c r="Y283" i="4"/>
  <c r="Y281" i="4" s="1"/>
  <c r="Y350" i="4" s="1"/>
  <c r="X283" i="4"/>
  <c r="X281" i="4" s="1"/>
  <c r="X350" i="4" s="1"/>
  <c r="W283" i="4"/>
  <c r="W281" i="4" s="1"/>
  <c r="W350" i="4" s="1"/>
  <c r="V283" i="4"/>
  <c r="V281" i="4" s="1"/>
  <c r="V350" i="4" s="1"/>
  <c r="U283" i="4"/>
  <c r="T283" i="4"/>
  <c r="S283" i="4"/>
  <c r="R283" i="4"/>
  <c r="R281" i="4" s="1"/>
  <c r="R350" i="4" s="1"/>
  <c r="Q283" i="4"/>
  <c r="P283" i="4"/>
  <c r="O283" i="4"/>
  <c r="N283" i="4"/>
  <c r="N281" i="4" s="1"/>
  <c r="N350" i="4" s="1"/>
  <c r="M283" i="4"/>
  <c r="M281" i="4" s="1"/>
  <c r="M350" i="4" s="1"/>
  <c r="L283" i="4"/>
  <c r="L281" i="4" s="1"/>
  <c r="L350" i="4" s="1"/>
  <c r="K283" i="4"/>
  <c r="K281" i="4" s="1"/>
  <c r="K350" i="4" s="1"/>
  <c r="J283" i="4"/>
  <c r="J281" i="4" s="1"/>
  <c r="J350" i="4" s="1"/>
  <c r="I283" i="4"/>
  <c r="H283" i="4"/>
  <c r="G283" i="4"/>
  <c r="AM281" i="4"/>
  <c r="AM350" i="4" s="1"/>
  <c r="AG281" i="4"/>
  <c r="AG350" i="4" s="1"/>
  <c r="AF281" i="4"/>
  <c r="AF350" i="4" s="1"/>
  <c r="AE281" i="4"/>
  <c r="AE350" i="4" s="1"/>
  <c r="AD281" i="4"/>
  <c r="AD350" i="4" s="1"/>
  <c r="AC281" i="4"/>
  <c r="AC350" i="4" s="1"/>
  <c r="AB281" i="4"/>
  <c r="AB350" i="4" s="1"/>
  <c r="AA281" i="4"/>
  <c r="AA350" i="4" s="1"/>
  <c r="U281" i="4"/>
  <c r="U350" i="4" s="1"/>
  <c r="T281" i="4"/>
  <c r="T350" i="4" s="1"/>
  <c r="S281" i="4"/>
  <c r="S350" i="4" s="1"/>
  <c r="Q281" i="4"/>
  <c r="Q350" i="4" s="1"/>
  <c r="P281" i="4"/>
  <c r="P350" i="4" s="1"/>
  <c r="O281" i="4"/>
  <c r="O350" i="4" s="1"/>
  <c r="I281" i="4"/>
  <c r="I350" i="4" s="1"/>
  <c r="H281" i="4"/>
  <c r="H350" i="4" s="1"/>
  <c r="G281" i="4"/>
  <c r="G350" i="4" s="1"/>
  <c r="F281" i="4"/>
  <c r="F350" i="4" s="1"/>
  <c r="C276" i="4"/>
  <c r="D276" i="4" s="1"/>
  <c r="AM268" i="4"/>
  <c r="AM266" i="4" s="1"/>
  <c r="AM352" i="4" s="1"/>
  <c r="AL268" i="4"/>
  <c r="AL266" i="4" s="1"/>
  <c r="AL352" i="4" s="1"/>
  <c r="AK268" i="4"/>
  <c r="AJ268" i="4"/>
  <c r="AI268" i="4"/>
  <c r="AH268" i="4"/>
  <c r="AG268" i="4"/>
  <c r="AG266" i="4" s="1"/>
  <c r="AG352" i="4" s="1"/>
  <c r="AF268" i="4"/>
  <c r="AF266" i="4" s="1"/>
  <c r="AF352" i="4" s="1"/>
  <c r="AE268" i="4"/>
  <c r="AE266" i="4" s="1"/>
  <c r="AE352" i="4" s="1"/>
  <c r="AD268" i="4"/>
  <c r="AC268" i="4"/>
  <c r="AB268" i="4"/>
  <c r="AA268" i="4"/>
  <c r="AA266" i="4" s="1"/>
  <c r="AA352" i="4" s="1"/>
  <c r="Z268" i="4"/>
  <c r="Z266" i="4" s="1"/>
  <c r="Z352" i="4" s="1"/>
  <c r="Y268" i="4"/>
  <c r="X268" i="4"/>
  <c r="W268" i="4"/>
  <c r="V268" i="4"/>
  <c r="U268" i="4"/>
  <c r="T268" i="4"/>
  <c r="S268" i="4"/>
  <c r="S266" i="4" s="1"/>
  <c r="S352" i="4" s="1"/>
  <c r="R268" i="4"/>
  <c r="Q268" i="4"/>
  <c r="P268" i="4"/>
  <c r="O268" i="4"/>
  <c r="N268" i="4"/>
  <c r="N266" i="4" s="1"/>
  <c r="N352" i="4" s="1"/>
  <c r="M268" i="4"/>
  <c r="L268" i="4"/>
  <c r="K268" i="4"/>
  <c r="J268" i="4"/>
  <c r="I268" i="4"/>
  <c r="H268" i="4"/>
  <c r="AK266" i="4"/>
  <c r="AK352" i="4" s="1"/>
  <c r="AJ266" i="4"/>
  <c r="AJ352" i="4" s="1"/>
  <c r="AI266" i="4"/>
  <c r="AI352" i="4" s="1"/>
  <c r="AH266" i="4"/>
  <c r="AH352" i="4" s="1"/>
  <c r="AD266" i="4"/>
  <c r="AD352" i="4" s="1"/>
  <c r="AC266" i="4"/>
  <c r="AC352" i="4" s="1"/>
  <c r="AB266" i="4"/>
  <c r="AB352" i="4" s="1"/>
  <c r="Y266" i="4"/>
  <c r="Y352" i="4" s="1"/>
  <c r="X266" i="4"/>
  <c r="X352" i="4" s="1"/>
  <c r="W266" i="4"/>
  <c r="W352" i="4" s="1"/>
  <c r="V266" i="4"/>
  <c r="V352" i="4" s="1"/>
  <c r="U266" i="4"/>
  <c r="U352" i="4" s="1"/>
  <c r="T266" i="4"/>
  <c r="T352" i="4" s="1"/>
  <c r="R266" i="4"/>
  <c r="R352" i="4" s="1"/>
  <c r="Q266" i="4"/>
  <c r="Q352" i="4" s="1"/>
  <c r="P266" i="4"/>
  <c r="P352" i="4" s="1"/>
  <c r="O266" i="4"/>
  <c r="O352" i="4" s="1"/>
  <c r="M266" i="4"/>
  <c r="M352" i="4" s="1"/>
  <c r="L266" i="4"/>
  <c r="L352" i="4" s="1"/>
  <c r="K266" i="4"/>
  <c r="K352" i="4" s="1"/>
  <c r="J266" i="4"/>
  <c r="J352" i="4" s="1"/>
  <c r="I266" i="4"/>
  <c r="I352" i="4" s="1"/>
  <c r="H266" i="4"/>
  <c r="H352" i="4" s="1"/>
  <c r="G266" i="4"/>
  <c r="G352" i="4" s="1"/>
  <c r="F266" i="4"/>
  <c r="E266" i="4"/>
  <c r="D266" i="4"/>
  <c r="D261" i="4"/>
  <c r="D260" i="4"/>
  <c r="D250" i="4"/>
  <c r="D251" i="4" s="1"/>
  <c r="E250" i="4" s="1"/>
  <c r="E251" i="4" s="1"/>
  <c r="F250" i="4" s="1"/>
  <c r="F251" i="4" s="1"/>
  <c r="G250" i="4" s="1"/>
  <c r="G251" i="4" s="1"/>
  <c r="H250" i="4" s="1"/>
  <c r="H251" i="4" s="1"/>
  <c r="I250" i="4" s="1"/>
  <c r="I251" i="4" s="1"/>
  <c r="J250" i="4" s="1"/>
  <c r="J251" i="4" s="1"/>
  <c r="K250" i="4" s="1"/>
  <c r="K251" i="4" s="1"/>
  <c r="L250" i="4" s="1"/>
  <c r="L251" i="4" s="1"/>
  <c r="M250" i="4" s="1"/>
  <c r="M251" i="4" s="1"/>
  <c r="N250" i="4" s="1"/>
  <c r="N251" i="4" s="1"/>
  <c r="O250" i="4" s="1"/>
  <c r="O251" i="4" s="1"/>
  <c r="C249" i="4"/>
  <c r="AM244" i="4"/>
  <c r="AL244" i="4"/>
  <c r="AK244" i="4"/>
  <c r="AJ244" i="4"/>
  <c r="AI244" i="4"/>
  <c r="AH244" i="4"/>
  <c r="AG244" i="4"/>
  <c r="AF244" i="4"/>
  <c r="AE244" i="4"/>
  <c r="AD244" i="4"/>
  <c r="AC244" i="4"/>
  <c r="AB244" i="4"/>
  <c r="AA244" i="4"/>
  <c r="Z244" i="4"/>
  <c r="Y244" i="4"/>
  <c r="X244" i="4"/>
  <c r="W244" i="4"/>
  <c r="V244" i="4"/>
  <c r="U244" i="4"/>
  <c r="T244" i="4"/>
  <c r="S244" i="4"/>
  <c r="R244" i="4"/>
  <c r="Q244" i="4"/>
  <c r="P244" i="4"/>
  <c r="O244" i="4"/>
  <c r="N244" i="4"/>
  <c r="M244" i="4"/>
  <c r="L244" i="4"/>
  <c r="K244" i="4"/>
  <c r="J244" i="4"/>
  <c r="I244" i="4"/>
  <c r="H244" i="4"/>
  <c r="G244" i="4"/>
  <c r="F244" i="4"/>
  <c r="E244" i="4"/>
  <c r="D244" i="4"/>
  <c r="J241" i="4"/>
  <c r="K235" i="4" s="1"/>
  <c r="K241" i="4" s="1"/>
  <c r="L235" i="4" s="1"/>
  <c r="L241" i="4" s="1"/>
  <c r="M235" i="4" s="1"/>
  <c r="M241" i="4" s="1"/>
  <c r="N235" i="4" s="1"/>
  <c r="N241" i="4" s="1"/>
  <c r="O235" i="4" s="1"/>
  <c r="O241" i="4" s="1"/>
  <c r="P235" i="4" s="1"/>
  <c r="P241" i="4" s="1"/>
  <c r="Q235" i="4" s="1"/>
  <c r="Q241" i="4" s="1"/>
  <c r="R235" i="4" s="1"/>
  <c r="R241" i="4" s="1"/>
  <c r="S235" i="4" s="1"/>
  <c r="S241" i="4" s="1"/>
  <c r="T235" i="4" s="1"/>
  <c r="T241" i="4" s="1"/>
  <c r="U235" i="4" s="1"/>
  <c r="U241" i="4" s="1"/>
  <c r="V235" i="4" s="1"/>
  <c r="V241" i="4" s="1"/>
  <c r="W235" i="4" s="1"/>
  <c r="W241" i="4" s="1"/>
  <c r="X235" i="4" s="1"/>
  <c r="X241" i="4" s="1"/>
  <c r="Y235" i="4" s="1"/>
  <c r="Y241" i="4" s="1"/>
  <c r="Z235" i="4" s="1"/>
  <c r="G241" i="4"/>
  <c r="H235" i="4" s="1"/>
  <c r="H241" i="4" s="1"/>
  <c r="I235" i="4" s="1"/>
  <c r="I241" i="4" s="1"/>
  <c r="J235" i="4" s="1"/>
  <c r="Y237" i="4"/>
  <c r="X237" i="4"/>
  <c r="W237" i="4"/>
  <c r="V237" i="4"/>
  <c r="U237" i="4"/>
  <c r="T237" i="4"/>
  <c r="S237" i="4"/>
  <c r="R237" i="4"/>
  <c r="Q237" i="4"/>
  <c r="P237" i="4"/>
  <c r="O237" i="4"/>
  <c r="N237" i="4"/>
  <c r="M237" i="4"/>
  <c r="L237" i="4"/>
  <c r="K237" i="4"/>
  <c r="J237" i="4"/>
  <c r="I237" i="4"/>
  <c r="H237" i="4"/>
  <c r="Y236" i="4"/>
  <c r="X236" i="4"/>
  <c r="W236" i="4"/>
  <c r="V236" i="4"/>
  <c r="U236" i="4"/>
  <c r="T236" i="4"/>
  <c r="S236" i="4"/>
  <c r="R236" i="4"/>
  <c r="Q236" i="4"/>
  <c r="P236" i="4"/>
  <c r="O236" i="4"/>
  <c r="N236" i="4"/>
  <c r="M236" i="4"/>
  <c r="L236" i="4"/>
  <c r="K236" i="4"/>
  <c r="J236" i="4"/>
  <c r="I236" i="4"/>
  <c r="H236" i="4"/>
  <c r="AA235" i="4"/>
  <c r="Y234" i="4"/>
  <c r="X234" i="4"/>
  <c r="W234" i="4"/>
  <c r="V234" i="4"/>
  <c r="U234" i="4"/>
  <c r="T234" i="4"/>
  <c r="S234" i="4"/>
  <c r="R234" i="4"/>
  <c r="Q234" i="4"/>
  <c r="P234" i="4"/>
  <c r="O234" i="4"/>
  <c r="N234" i="4"/>
  <c r="M234" i="4"/>
  <c r="L234" i="4"/>
  <c r="K234" i="4"/>
  <c r="J234" i="4"/>
  <c r="I234" i="4"/>
  <c r="H234" i="4"/>
  <c r="G234" i="4"/>
  <c r="F234" i="4"/>
  <c r="E234" i="4"/>
  <c r="D234" i="4"/>
  <c r="D233" i="4"/>
  <c r="E229" i="4" s="1"/>
  <c r="E233" i="4" s="1"/>
  <c r="F229" i="4" s="1"/>
  <c r="F233" i="4" s="1"/>
  <c r="G229" i="4" s="1"/>
  <c r="G233" i="4" s="1"/>
  <c r="H229" i="4" s="1"/>
  <c r="H233" i="4" s="1"/>
  <c r="H230" i="4"/>
  <c r="G230" i="4"/>
  <c r="F230" i="4"/>
  <c r="E230" i="4"/>
  <c r="D230" i="4"/>
  <c r="O228" i="4"/>
  <c r="N228" i="4"/>
  <c r="M228" i="4"/>
  <c r="L228" i="4"/>
  <c r="K228" i="4"/>
  <c r="J228" i="4"/>
  <c r="I228" i="4"/>
  <c r="H228" i="4"/>
  <c r="G228" i="4"/>
  <c r="F228" i="4"/>
  <c r="E228" i="4"/>
  <c r="D228" i="4"/>
  <c r="O227" i="4"/>
  <c r="N227" i="4"/>
  <c r="M227" i="4"/>
  <c r="L227" i="4"/>
  <c r="K227" i="4"/>
  <c r="J227" i="4"/>
  <c r="I227" i="4"/>
  <c r="H227" i="4"/>
  <c r="G227" i="4"/>
  <c r="F227" i="4"/>
  <c r="E227" i="4"/>
  <c r="O225" i="4"/>
  <c r="N225" i="4"/>
  <c r="N224" i="4" s="1"/>
  <c r="N222" i="4" s="1"/>
  <c r="M225" i="4"/>
  <c r="M224" i="4" s="1"/>
  <c r="M222" i="4" s="1"/>
  <c r="L225" i="4"/>
  <c r="L224" i="4" s="1"/>
  <c r="L222" i="4" s="1"/>
  <c r="K225" i="4"/>
  <c r="J225" i="4"/>
  <c r="I225" i="4"/>
  <c r="I224" i="4" s="1"/>
  <c r="H225" i="4"/>
  <c r="H224" i="4" s="1"/>
  <c r="H222" i="4" s="1"/>
  <c r="G225" i="4"/>
  <c r="F225" i="4"/>
  <c r="E225" i="4"/>
  <c r="O224" i="4"/>
  <c r="K224" i="4"/>
  <c r="K222" i="4" s="1"/>
  <c r="J224" i="4"/>
  <c r="J222" i="4" s="1"/>
  <c r="G224" i="4"/>
  <c r="F224" i="4"/>
  <c r="F222" i="4" s="1"/>
  <c r="E224" i="4"/>
  <c r="O222" i="4"/>
  <c r="I222" i="4"/>
  <c r="G222" i="4"/>
  <c r="E222" i="4"/>
  <c r="D221" i="4"/>
  <c r="D218" i="4"/>
  <c r="D216" i="4" s="1"/>
  <c r="O215" i="4"/>
  <c r="N215" i="4"/>
  <c r="M215" i="4"/>
  <c r="L215" i="4"/>
  <c r="K215" i="4"/>
  <c r="J215" i="4"/>
  <c r="I215" i="4"/>
  <c r="H215" i="4"/>
  <c r="G215" i="4"/>
  <c r="F215" i="4"/>
  <c r="E215" i="4"/>
  <c r="D215" i="4"/>
  <c r="O213" i="4"/>
  <c r="N213" i="4"/>
  <c r="M213" i="4"/>
  <c r="L213" i="4"/>
  <c r="K213" i="4"/>
  <c r="J213" i="4"/>
  <c r="I213" i="4"/>
  <c r="H213" i="4"/>
  <c r="G213" i="4"/>
  <c r="F213" i="4"/>
  <c r="E213" i="4"/>
  <c r="D213" i="4"/>
  <c r="O212" i="4"/>
  <c r="N212" i="4"/>
  <c r="M212" i="4"/>
  <c r="L212" i="4"/>
  <c r="K212" i="4"/>
  <c r="J212" i="4"/>
  <c r="I212" i="4"/>
  <c r="H212" i="4"/>
  <c r="G212" i="4"/>
  <c r="F212" i="4"/>
  <c r="E212" i="4"/>
  <c r="D212" i="4"/>
  <c r="O210" i="4"/>
  <c r="N210" i="4"/>
  <c r="M210" i="4"/>
  <c r="L210" i="4"/>
  <c r="K210" i="4"/>
  <c r="J210" i="4"/>
  <c r="I210" i="4"/>
  <c r="H210" i="4"/>
  <c r="G210" i="4"/>
  <c r="F210" i="4"/>
  <c r="E210" i="4"/>
  <c r="D210" i="4"/>
  <c r="O209" i="4"/>
  <c r="N209" i="4"/>
  <c r="M209" i="4"/>
  <c r="L209" i="4"/>
  <c r="K209" i="4"/>
  <c r="J209" i="4"/>
  <c r="I209" i="4"/>
  <c r="H209" i="4"/>
  <c r="G209" i="4"/>
  <c r="F209" i="4"/>
  <c r="E209" i="4"/>
  <c r="D209" i="4"/>
  <c r="O207" i="4"/>
  <c r="N207" i="4"/>
  <c r="M207" i="4"/>
  <c r="L207" i="4"/>
  <c r="K207" i="4"/>
  <c r="J207" i="4"/>
  <c r="I207" i="4"/>
  <c r="H207" i="4"/>
  <c r="G207" i="4"/>
  <c r="F207" i="4"/>
  <c r="E207" i="4"/>
  <c r="D207" i="4"/>
  <c r="O206" i="4"/>
  <c r="N206" i="4"/>
  <c r="N204" i="4" s="1"/>
  <c r="M206" i="4"/>
  <c r="L206" i="4"/>
  <c r="K206" i="4"/>
  <c r="J206" i="4"/>
  <c r="I206" i="4"/>
  <c r="H206" i="4"/>
  <c r="H204" i="4" s="1"/>
  <c r="G206" i="4"/>
  <c r="F206" i="4"/>
  <c r="F204" i="4" s="1"/>
  <c r="E206" i="4"/>
  <c r="E204" i="4" s="1"/>
  <c r="D206" i="4"/>
  <c r="C206" i="4"/>
  <c r="O204" i="4"/>
  <c r="M204" i="4"/>
  <c r="L204" i="4"/>
  <c r="K204" i="4"/>
  <c r="J204" i="4"/>
  <c r="I204" i="4"/>
  <c r="G204" i="4"/>
  <c r="D204" i="4"/>
  <c r="O203" i="4"/>
  <c r="N203" i="4"/>
  <c r="M203" i="4"/>
  <c r="L203" i="4"/>
  <c r="K203" i="4"/>
  <c r="J203" i="4"/>
  <c r="I203" i="4"/>
  <c r="H203" i="4"/>
  <c r="G203" i="4"/>
  <c r="F203" i="4"/>
  <c r="E203" i="4"/>
  <c r="D203" i="4"/>
  <c r="O201" i="4"/>
  <c r="N201" i="4"/>
  <c r="M201" i="4"/>
  <c r="L201" i="4"/>
  <c r="K201" i="4"/>
  <c r="J201" i="4"/>
  <c r="I201" i="4"/>
  <c r="H201" i="4"/>
  <c r="G201" i="4"/>
  <c r="F201" i="4"/>
  <c r="E201" i="4"/>
  <c r="D201" i="4"/>
  <c r="O200" i="4"/>
  <c r="N200" i="4"/>
  <c r="M200" i="4"/>
  <c r="L200" i="4"/>
  <c r="K200" i="4"/>
  <c r="J200" i="4"/>
  <c r="I200" i="4"/>
  <c r="H200" i="4"/>
  <c r="G200" i="4"/>
  <c r="F200" i="4"/>
  <c r="E200" i="4"/>
  <c r="D200" i="4"/>
  <c r="O198" i="4"/>
  <c r="N198" i="4"/>
  <c r="M198" i="4"/>
  <c r="L198" i="4"/>
  <c r="K198" i="4"/>
  <c r="J198" i="4"/>
  <c r="I198" i="4"/>
  <c r="H198" i="4"/>
  <c r="G198" i="4"/>
  <c r="F198" i="4"/>
  <c r="E198" i="4"/>
  <c r="D198" i="4"/>
  <c r="H196" i="4"/>
  <c r="D193" i="4"/>
  <c r="D197" i="4" s="1"/>
  <c r="E193" i="4" s="1"/>
  <c r="E197" i="4" s="1"/>
  <c r="F193" i="4" s="1"/>
  <c r="O192" i="4"/>
  <c r="N192" i="4"/>
  <c r="M192" i="4"/>
  <c r="L192" i="4"/>
  <c r="K192" i="4"/>
  <c r="J192" i="4"/>
  <c r="I192" i="4"/>
  <c r="H192" i="4"/>
  <c r="G192" i="4"/>
  <c r="F192" i="4"/>
  <c r="E192" i="4"/>
  <c r="D192" i="4"/>
  <c r="D191" i="4"/>
  <c r="O190" i="4"/>
  <c r="N190" i="4"/>
  <c r="M190" i="4"/>
  <c r="L190" i="4"/>
  <c r="K190" i="4"/>
  <c r="J190" i="4"/>
  <c r="I190" i="4"/>
  <c r="E190" i="4"/>
  <c r="O189" i="4"/>
  <c r="N189" i="4"/>
  <c r="M189" i="4"/>
  <c r="L189" i="4"/>
  <c r="H189" i="4"/>
  <c r="H190" i="4" s="1"/>
  <c r="G189" i="4"/>
  <c r="G190" i="4" s="1"/>
  <c r="F189" i="4"/>
  <c r="F190" i="4" s="1"/>
  <c r="F187" i="4"/>
  <c r="E187" i="4"/>
  <c r="E191" i="4" s="1"/>
  <c r="AM186" i="4"/>
  <c r="AL186" i="4"/>
  <c r="AK186" i="4"/>
  <c r="AJ186" i="4"/>
  <c r="AI186" i="4"/>
  <c r="AH186" i="4"/>
  <c r="AG186" i="4"/>
  <c r="AF186" i="4"/>
  <c r="AE186" i="4"/>
  <c r="AD186" i="4"/>
  <c r="AC186" i="4"/>
  <c r="AB186" i="4"/>
  <c r="AA186" i="4"/>
  <c r="Z186" i="4"/>
  <c r="Y186" i="4"/>
  <c r="X186" i="4"/>
  <c r="W186" i="4"/>
  <c r="V186" i="4"/>
  <c r="U186" i="4"/>
  <c r="T186" i="4"/>
  <c r="S186" i="4"/>
  <c r="R186" i="4"/>
  <c r="Q186" i="4"/>
  <c r="P186" i="4"/>
  <c r="O186" i="4"/>
  <c r="N186" i="4"/>
  <c r="M186" i="4"/>
  <c r="L186" i="4"/>
  <c r="K186" i="4"/>
  <c r="J186" i="4"/>
  <c r="I186" i="4"/>
  <c r="H186" i="4"/>
  <c r="G186" i="4"/>
  <c r="F186" i="4"/>
  <c r="E186" i="4"/>
  <c r="D186" i="4"/>
  <c r="E185" i="4"/>
  <c r="F181" i="4" s="1"/>
  <c r="F185" i="4" s="1"/>
  <c r="G181" i="4" s="1"/>
  <c r="G185" i="4" s="1"/>
  <c r="H181" i="4" s="1"/>
  <c r="H185" i="4" s="1"/>
  <c r="I181" i="4" s="1"/>
  <c r="I185" i="4" s="1"/>
  <c r="J181" i="4" s="1"/>
  <c r="J185" i="4" s="1"/>
  <c r="K181" i="4" s="1"/>
  <c r="K185" i="4" s="1"/>
  <c r="L181" i="4" s="1"/>
  <c r="L185" i="4" s="1"/>
  <c r="M181" i="4" s="1"/>
  <c r="M185" i="4" s="1"/>
  <c r="N181" i="4" s="1"/>
  <c r="N185" i="4" s="1"/>
  <c r="O181" i="4" s="1"/>
  <c r="D185" i="4"/>
  <c r="E181" i="4" s="1"/>
  <c r="N184" i="4"/>
  <c r="M184" i="4"/>
  <c r="L184" i="4"/>
  <c r="L180" i="4" s="1"/>
  <c r="F184" i="4"/>
  <c r="E184" i="4"/>
  <c r="O183" i="4"/>
  <c r="N183" i="4"/>
  <c r="J183" i="4"/>
  <c r="J184" i="4" s="1"/>
  <c r="I183" i="4"/>
  <c r="O182" i="4"/>
  <c r="N182" i="4"/>
  <c r="M182" i="4"/>
  <c r="L182" i="4"/>
  <c r="K182" i="4"/>
  <c r="K184" i="4" s="1"/>
  <c r="K180" i="4" s="1"/>
  <c r="J182" i="4"/>
  <c r="I182" i="4"/>
  <c r="I184" i="4" s="1"/>
  <c r="H182" i="4"/>
  <c r="H184" i="4" s="1"/>
  <c r="H180" i="4" s="1"/>
  <c r="G182" i="4"/>
  <c r="G184" i="4" s="1"/>
  <c r="G180" i="4" s="1"/>
  <c r="F182" i="4"/>
  <c r="E182" i="4"/>
  <c r="AM180" i="4"/>
  <c r="AL180" i="4"/>
  <c r="AK180" i="4"/>
  <c r="AJ180" i="4"/>
  <c r="AI180" i="4"/>
  <c r="AH180" i="4"/>
  <c r="AG180" i="4"/>
  <c r="AF180" i="4"/>
  <c r="AE180" i="4"/>
  <c r="AD180" i="4"/>
  <c r="AC180" i="4"/>
  <c r="AB180" i="4"/>
  <c r="AA180" i="4"/>
  <c r="Z180" i="4"/>
  <c r="Y180" i="4"/>
  <c r="X180" i="4"/>
  <c r="W180" i="4"/>
  <c r="V180" i="4"/>
  <c r="U180" i="4"/>
  <c r="T180" i="4"/>
  <c r="S180" i="4"/>
  <c r="R180" i="4"/>
  <c r="Q180" i="4"/>
  <c r="P180" i="4"/>
  <c r="N180" i="4"/>
  <c r="M180" i="4"/>
  <c r="F180" i="4"/>
  <c r="E180" i="4"/>
  <c r="D180" i="4"/>
  <c r="AM176" i="4"/>
  <c r="AL176" i="4"/>
  <c r="AL174" i="4" s="1"/>
  <c r="AK176" i="4"/>
  <c r="AK174" i="4" s="1"/>
  <c r="AJ176" i="4"/>
  <c r="AI176" i="4"/>
  <c r="AH176" i="4"/>
  <c r="AH174" i="4" s="1"/>
  <c r="AG176" i="4"/>
  <c r="AF176" i="4"/>
  <c r="AF174" i="4" s="1"/>
  <c r="AE176" i="4"/>
  <c r="AE174" i="4" s="1"/>
  <c r="AD176" i="4"/>
  <c r="AC176" i="4"/>
  <c r="AB176" i="4"/>
  <c r="AA176" i="4"/>
  <c r="Z176" i="4"/>
  <c r="Y176" i="4"/>
  <c r="Y174" i="4" s="1"/>
  <c r="X176" i="4"/>
  <c r="X174" i="4" s="1"/>
  <c r="W176" i="4"/>
  <c r="V176" i="4"/>
  <c r="V174" i="4" s="1"/>
  <c r="U176" i="4"/>
  <c r="T176" i="4"/>
  <c r="T174" i="4" s="1"/>
  <c r="S176" i="4"/>
  <c r="S174" i="4" s="1"/>
  <c r="R176" i="4"/>
  <c r="R174" i="4" s="1"/>
  <c r="Q176" i="4"/>
  <c r="P176" i="4"/>
  <c r="O176" i="4"/>
  <c r="N176" i="4"/>
  <c r="M176" i="4"/>
  <c r="M174" i="4" s="1"/>
  <c r="L176" i="4"/>
  <c r="K176" i="4"/>
  <c r="J176" i="4"/>
  <c r="J174" i="4" s="1"/>
  <c r="I176" i="4"/>
  <c r="H176" i="4"/>
  <c r="H174" i="4" s="1"/>
  <c r="G176" i="4"/>
  <c r="G174" i="4" s="1"/>
  <c r="F176" i="4"/>
  <c r="E176" i="4"/>
  <c r="D176" i="4"/>
  <c r="D178" i="4" s="1"/>
  <c r="D179" i="4" s="1"/>
  <c r="E175" i="4" s="1"/>
  <c r="AM174" i="4"/>
  <c r="AJ174" i="4"/>
  <c r="AI174" i="4"/>
  <c r="AG174" i="4"/>
  <c r="AB174" i="4"/>
  <c r="AA174" i="4"/>
  <c r="Z174" i="4"/>
  <c r="W174" i="4"/>
  <c r="U174" i="4"/>
  <c r="P174" i="4"/>
  <c r="O174" i="4"/>
  <c r="N174" i="4"/>
  <c r="L174" i="4"/>
  <c r="K174" i="4"/>
  <c r="I174" i="4"/>
  <c r="S172" i="4"/>
  <c r="R172" i="4"/>
  <c r="Q172" i="4"/>
  <c r="P172" i="4"/>
  <c r="O172" i="4"/>
  <c r="N172" i="4"/>
  <c r="G172" i="4"/>
  <c r="F172" i="4"/>
  <c r="E172" i="4"/>
  <c r="D172" i="4"/>
  <c r="V170" i="4"/>
  <c r="V172" i="4" s="1"/>
  <c r="U170" i="4"/>
  <c r="T170" i="4"/>
  <c r="S170" i="4"/>
  <c r="S168" i="4" s="1"/>
  <c r="R170" i="4"/>
  <c r="R168" i="4" s="1"/>
  <c r="Q170" i="4"/>
  <c r="P170" i="4"/>
  <c r="O170" i="4"/>
  <c r="N170" i="4"/>
  <c r="N168" i="4" s="1"/>
  <c r="M170" i="4"/>
  <c r="M168" i="4" s="1"/>
  <c r="L170" i="4"/>
  <c r="L172" i="4" s="1"/>
  <c r="K170" i="4"/>
  <c r="K172" i="4" s="1"/>
  <c r="J170" i="4"/>
  <c r="J172" i="4" s="1"/>
  <c r="I170" i="4"/>
  <c r="H170" i="4"/>
  <c r="G170" i="4"/>
  <c r="G168" i="4" s="1"/>
  <c r="F170" i="4"/>
  <c r="F168" i="4" s="1"/>
  <c r="E170" i="4"/>
  <c r="D170" i="4"/>
  <c r="E169" i="4"/>
  <c r="E173" i="4" s="1"/>
  <c r="F169" i="4" s="1"/>
  <c r="F173" i="4" s="1"/>
  <c r="G169" i="4" s="1"/>
  <c r="G173" i="4" s="1"/>
  <c r="H169" i="4" s="1"/>
  <c r="D169" i="4"/>
  <c r="D173" i="4" s="1"/>
  <c r="V168" i="4"/>
  <c r="Q168" i="4"/>
  <c r="P168" i="4"/>
  <c r="O168" i="4"/>
  <c r="K168" i="4"/>
  <c r="J168" i="4"/>
  <c r="E168" i="4"/>
  <c r="D168" i="4"/>
  <c r="D167" i="4"/>
  <c r="E165" i="4" s="1"/>
  <c r="Y164" i="4"/>
  <c r="X164" i="4"/>
  <c r="W164" i="4"/>
  <c r="V164" i="4"/>
  <c r="U164" i="4"/>
  <c r="T164" i="4"/>
  <c r="S164" i="4"/>
  <c r="R164" i="4"/>
  <c r="Q164" i="4"/>
  <c r="P164" i="4"/>
  <c r="O164" i="4"/>
  <c r="N164" i="4"/>
  <c r="M164" i="4"/>
  <c r="L164" i="4"/>
  <c r="K164" i="4"/>
  <c r="J164" i="4"/>
  <c r="I164" i="4"/>
  <c r="H164" i="4"/>
  <c r="G164" i="4"/>
  <c r="F164" i="4"/>
  <c r="E164" i="4"/>
  <c r="E166" i="4" s="1"/>
  <c r="E167" i="4" s="1"/>
  <c r="F165" i="4" s="1"/>
  <c r="D164" i="4"/>
  <c r="E162" i="4"/>
  <c r="D162" i="4"/>
  <c r="D160" i="4"/>
  <c r="D161" i="4" s="1"/>
  <c r="E159" i="4" s="1"/>
  <c r="E160" i="4" s="1"/>
  <c r="D156" i="4"/>
  <c r="O155" i="4"/>
  <c r="M155" i="4"/>
  <c r="L155" i="4"/>
  <c r="K155" i="4"/>
  <c r="J155" i="4"/>
  <c r="I155" i="4"/>
  <c r="H155" i="4"/>
  <c r="G155" i="4"/>
  <c r="F155" i="4"/>
  <c r="D155" i="4"/>
  <c r="E151" i="4" s="1"/>
  <c r="E155" i="4" s="1"/>
  <c r="N154" i="4"/>
  <c r="M154" i="4"/>
  <c r="N152" i="4"/>
  <c r="N150" i="4" s="1"/>
  <c r="N151" i="4"/>
  <c r="N155" i="4" s="1"/>
  <c r="M150" i="4"/>
  <c r="L150" i="4"/>
  <c r="K150" i="4"/>
  <c r="J150" i="4"/>
  <c r="I150" i="4"/>
  <c r="H150" i="4"/>
  <c r="G150" i="4"/>
  <c r="F150" i="4"/>
  <c r="E150" i="4"/>
  <c r="D150" i="4"/>
  <c r="AM141" i="4"/>
  <c r="AL141" i="4"/>
  <c r="AK141" i="4"/>
  <c r="AJ141" i="4"/>
  <c r="AI141" i="4"/>
  <c r="AH141" i="4"/>
  <c r="AG141" i="4"/>
  <c r="AF141" i="4"/>
  <c r="AE141" i="4"/>
  <c r="AD141" i="4"/>
  <c r="AC141" i="4"/>
  <c r="AB141" i="4"/>
  <c r="AA141" i="4"/>
  <c r="Z141" i="4"/>
  <c r="Y141" i="4"/>
  <c r="X141" i="4"/>
  <c r="W141" i="4"/>
  <c r="V141" i="4"/>
  <c r="U141" i="4"/>
  <c r="T141" i="4"/>
  <c r="S141" i="4"/>
  <c r="R141" i="4"/>
  <c r="Q141" i="4"/>
  <c r="P141" i="4"/>
  <c r="O141" i="4"/>
  <c r="N141" i="4"/>
  <c r="M141" i="4"/>
  <c r="L141" i="4"/>
  <c r="K141" i="4"/>
  <c r="J141" i="4"/>
  <c r="I141" i="4"/>
  <c r="H141" i="4"/>
  <c r="C133" i="4"/>
  <c r="E132" i="4"/>
  <c r="E134" i="4" s="1"/>
  <c r="C132" i="4"/>
  <c r="F131" i="4"/>
  <c r="D131" i="4"/>
  <c r="AM129" i="4"/>
  <c r="AL129" i="4"/>
  <c r="AK129" i="4"/>
  <c r="AJ129" i="4"/>
  <c r="AI129" i="4"/>
  <c r="AH129" i="4"/>
  <c r="AG129" i="4"/>
  <c r="AF129" i="4"/>
  <c r="AE129" i="4"/>
  <c r="AD129" i="4"/>
  <c r="AC129" i="4"/>
  <c r="AB129" i="4"/>
  <c r="AA129" i="4"/>
  <c r="Z129" i="4"/>
  <c r="Y129" i="4"/>
  <c r="X129" i="4"/>
  <c r="W129" i="4"/>
  <c r="V129" i="4"/>
  <c r="U129" i="4"/>
  <c r="T129" i="4"/>
  <c r="S129" i="4"/>
  <c r="R129" i="4"/>
  <c r="Q129" i="4"/>
  <c r="P129" i="4"/>
  <c r="O129" i="4"/>
  <c r="N129" i="4"/>
  <c r="M129" i="4"/>
  <c r="L129" i="4"/>
  <c r="K129" i="4"/>
  <c r="J129" i="4"/>
  <c r="I129" i="4"/>
  <c r="H129" i="4"/>
  <c r="G129" i="4"/>
  <c r="F129" i="4"/>
  <c r="E129" i="4"/>
  <c r="D129" i="4"/>
  <c r="AM128" i="4"/>
  <c r="AL128" i="4"/>
  <c r="AK128" i="4"/>
  <c r="AJ128" i="4"/>
  <c r="AI128" i="4"/>
  <c r="AH128" i="4"/>
  <c r="AG128" i="4"/>
  <c r="AF128" i="4"/>
  <c r="AE128" i="4"/>
  <c r="AD128" i="4"/>
  <c r="AC128" i="4"/>
  <c r="AB128" i="4"/>
  <c r="AA128" i="4"/>
  <c r="Z128" i="4"/>
  <c r="Y128" i="4"/>
  <c r="X128" i="4"/>
  <c r="W128" i="4"/>
  <c r="V128" i="4"/>
  <c r="U128" i="4"/>
  <c r="T128" i="4"/>
  <c r="S128" i="4"/>
  <c r="R128" i="4"/>
  <c r="Q128" i="4"/>
  <c r="P128" i="4"/>
  <c r="O128" i="4"/>
  <c r="N128" i="4"/>
  <c r="M128" i="4"/>
  <c r="L128" i="4"/>
  <c r="K128" i="4"/>
  <c r="J128" i="4"/>
  <c r="I128" i="4"/>
  <c r="H128" i="4"/>
  <c r="G128" i="4"/>
  <c r="F128" i="4"/>
  <c r="E128" i="4"/>
  <c r="D128" i="4"/>
  <c r="D125" i="4" s="1"/>
  <c r="AM127" i="4"/>
  <c r="AM125" i="4" s="1"/>
  <c r="AL127" i="4"/>
  <c r="AL125" i="4" s="1"/>
  <c r="AK127" i="4"/>
  <c r="AJ127" i="4"/>
  <c r="AJ125" i="4" s="1"/>
  <c r="AI127" i="4"/>
  <c r="AH127" i="4"/>
  <c r="AH125" i="4" s="1"/>
  <c r="AG127" i="4"/>
  <c r="AF127" i="4"/>
  <c r="AE127" i="4"/>
  <c r="AD127" i="4"/>
  <c r="AD125" i="4" s="1"/>
  <c r="AC127" i="4"/>
  <c r="AC125" i="4" s="1"/>
  <c r="AB127" i="4"/>
  <c r="AB125" i="4" s="1"/>
  <c r="AA127" i="4"/>
  <c r="Z127" i="4"/>
  <c r="Y127" i="4"/>
  <c r="X127" i="4"/>
  <c r="X125" i="4" s="1"/>
  <c r="W127" i="4"/>
  <c r="V127" i="4"/>
  <c r="V125" i="4" s="1"/>
  <c r="U127" i="4"/>
  <c r="T127" i="4"/>
  <c r="S127" i="4"/>
  <c r="R127" i="4"/>
  <c r="R125" i="4" s="1"/>
  <c r="Q127" i="4"/>
  <c r="Q125" i="4" s="1"/>
  <c r="P127" i="4"/>
  <c r="P125" i="4" s="1"/>
  <c r="O127" i="4"/>
  <c r="O125" i="4" s="1"/>
  <c r="N127" i="4"/>
  <c r="M127" i="4"/>
  <c r="L127" i="4"/>
  <c r="L125" i="4" s="1"/>
  <c r="K127" i="4"/>
  <c r="J127" i="4"/>
  <c r="J125" i="4" s="1"/>
  <c r="I127" i="4"/>
  <c r="H127" i="4"/>
  <c r="G127" i="4"/>
  <c r="G126" i="4"/>
  <c r="G125" i="4" s="1"/>
  <c r="F126" i="4"/>
  <c r="F125" i="4" s="1"/>
  <c r="F123" i="4" s="1"/>
  <c r="F345" i="4" s="1"/>
  <c r="E126" i="4"/>
  <c r="E125" i="4" s="1"/>
  <c r="AK125" i="4"/>
  <c r="AI125" i="4"/>
  <c r="AG125" i="4"/>
  <c r="AF125" i="4"/>
  <c r="AE125" i="4"/>
  <c r="AA125" i="4"/>
  <c r="Z125" i="4"/>
  <c r="Y125" i="4"/>
  <c r="W125" i="4"/>
  <c r="U125" i="4"/>
  <c r="T125" i="4"/>
  <c r="S125" i="4"/>
  <c r="N125" i="4"/>
  <c r="M125" i="4"/>
  <c r="K125" i="4"/>
  <c r="I125" i="4"/>
  <c r="H125" i="4"/>
  <c r="AM118" i="4"/>
  <c r="AM115" i="4" s="1"/>
  <c r="AM344" i="4" s="1"/>
  <c r="AL118" i="4"/>
  <c r="AK118" i="4"/>
  <c r="AJ118" i="4"/>
  <c r="AI118" i="4"/>
  <c r="AH118" i="4"/>
  <c r="AH115" i="4" s="1"/>
  <c r="AH344" i="4" s="1"/>
  <c r="AG118" i="4"/>
  <c r="AG115" i="4" s="1"/>
  <c r="AG344" i="4" s="1"/>
  <c r="AF118" i="4"/>
  <c r="AE118" i="4"/>
  <c r="AD118" i="4"/>
  <c r="AC118" i="4"/>
  <c r="AB118" i="4"/>
  <c r="AA118" i="4"/>
  <c r="AA115" i="4" s="1"/>
  <c r="AA344" i="4" s="1"/>
  <c r="Z118" i="4"/>
  <c r="Y118" i="4"/>
  <c r="X118" i="4"/>
  <c r="W118" i="4"/>
  <c r="V118" i="4"/>
  <c r="V115" i="4" s="1"/>
  <c r="V344" i="4" s="1"/>
  <c r="U118" i="4"/>
  <c r="T118" i="4"/>
  <c r="S118" i="4"/>
  <c r="R118" i="4"/>
  <c r="Q118" i="4"/>
  <c r="P118" i="4"/>
  <c r="O118" i="4"/>
  <c r="O115" i="4" s="1"/>
  <c r="O344" i="4" s="1"/>
  <c r="N118" i="4"/>
  <c r="M118" i="4"/>
  <c r="L118" i="4"/>
  <c r="K118" i="4"/>
  <c r="J118" i="4"/>
  <c r="J115" i="4" s="1"/>
  <c r="J344" i="4" s="1"/>
  <c r="I118" i="4"/>
  <c r="H118" i="4"/>
  <c r="G118" i="4"/>
  <c r="F118" i="4"/>
  <c r="E118" i="4"/>
  <c r="D118" i="4"/>
  <c r="AM117" i="4"/>
  <c r="AL117" i="4"/>
  <c r="AK117" i="4"/>
  <c r="AJ117" i="4"/>
  <c r="AI117" i="4"/>
  <c r="AH117" i="4"/>
  <c r="AG117" i="4"/>
  <c r="AF117" i="4"/>
  <c r="AE117" i="4"/>
  <c r="AD117" i="4"/>
  <c r="AD115" i="4" s="1"/>
  <c r="AD344" i="4" s="1"/>
  <c r="AC117" i="4"/>
  <c r="AB117" i="4"/>
  <c r="AB115" i="4" s="1"/>
  <c r="AB344" i="4" s="1"/>
  <c r="AA117" i="4"/>
  <c r="Z117" i="4"/>
  <c r="Y117" i="4"/>
  <c r="X117" i="4"/>
  <c r="W117" i="4"/>
  <c r="V117" i="4"/>
  <c r="U117" i="4"/>
  <c r="T117" i="4"/>
  <c r="S117" i="4"/>
  <c r="R117" i="4"/>
  <c r="R115" i="4" s="1"/>
  <c r="R344" i="4" s="1"/>
  <c r="Q117" i="4"/>
  <c r="P117" i="4"/>
  <c r="P115" i="4" s="1"/>
  <c r="P344" i="4" s="1"/>
  <c r="O117" i="4"/>
  <c r="N117" i="4"/>
  <c r="M117" i="4"/>
  <c r="L117" i="4"/>
  <c r="K117" i="4"/>
  <c r="J117" i="4"/>
  <c r="I117" i="4"/>
  <c r="H117" i="4"/>
  <c r="G117" i="4"/>
  <c r="F117" i="4"/>
  <c r="E117" i="4"/>
  <c r="D117" i="4"/>
  <c r="D115" i="4" s="1"/>
  <c r="AM116" i="4"/>
  <c r="AL116" i="4"/>
  <c r="AK116" i="4"/>
  <c r="AJ116" i="4"/>
  <c r="AI116" i="4"/>
  <c r="AI115" i="4" s="1"/>
  <c r="AH116" i="4"/>
  <c r="AG116" i="4"/>
  <c r="AF116" i="4"/>
  <c r="AE116" i="4"/>
  <c r="AE115" i="4" s="1"/>
  <c r="AE344" i="4" s="1"/>
  <c r="AD116" i="4"/>
  <c r="AC116" i="4"/>
  <c r="AC115" i="4" s="1"/>
  <c r="AC344" i="4" s="1"/>
  <c r="AB116" i="4"/>
  <c r="AA116" i="4"/>
  <c r="Z116" i="4"/>
  <c r="Y116" i="4"/>
  <c r="X116" i="4"/>
  <c r="W116" i="4"/>
  <c r="W115" i="4" s="1"/>
  <c r="W344" i="4" s="1"/>
  <c r="V116" i="4"/>
  <c r="U116" i="4"/>
  <c r="T116" i="4"/>
  <c r="S116" i="4"/>
  <c r="S115" i="4" s="1"/>
  <c r="S344" i="4" s="1"/>
  <c r="R116" i="4"/>
  <c r="Q116" i="4"/>
  <c r="Q115" i="4" s="1"/>
  <c r="Q344" i="4" s="1"/>
  <c r="P116" i="4"/>
  <c r="O116" i="4"/>
  <c r="N116" i="4"/>
  <c r="N115" i="4" s="1"/>
  <c r="N344" i="4" s="1"/>
  <c r="M116" i="4"/>
  <c r="M115" i="4" s="1"/>
  <c r="M344" i="4" s="1"/>
  <c r="L116" i="4"/>
  <c r="L115" i="4" s="1"/>
  <c r="L344" i="4" s="1"/>
  <c r="K116" i="4"/>
  <c r="K115" i="4" s="1"/>
  <c r="K344" i="4" s="1"/>
  <c r="J116" i="4"/>
  <c r="I116" i="4"/>
  <c r="H116" i="4"/>
  <c r="G116" i="4"/>
  <c r="G115" i="4" s="1"/>
  <c r="G344" i="4" s="1"/>
  <c r="F116" i="4"/>
  <c r="E116" i="4"/>
  <c r="E115" i="4" s="1"/>
  <c r="E344" i="4" s="1"/>
  <c r="D116" i="4"/>
  <c r="AN116" i="4" s="1"/>
  <c r="AL115" i="4"/>
  <c r="AL344" i="4" s="1"/>
  <c r="AK115" i="4"/>
  <c r="AK344" i="4" s="1"/>
  <c r="AJ115" i="4"/>
  <c r="AJ344" i="4" s="1"/>
  <c r="AF115" i="4"/>
  <c r="AF344" i="4" s="1"/>
  <c r="Z115" i="4"/>
  <c r="Z344" i="4" s="1"/>
  <c r="Y115" i="4"/>
  <c r="Y344" i="4" s="1"/>
  <c r="X115" i="4"/>
  <c r="X344" i="4" s="1"/>
  <c r="U115" i="4"/>
  <c r="U344" i="4" s="1"/>
  <c r="T115" i="4"/>
  <c r="T344" i="4" s="1"/>
  <c r="I115" i="4"/>
  <c r="I344" i="4" s="1"/>
  <c r="H115" i="4"/>
  <c r="H344" i="4" s="1"/>
  <c r="F115" i="4"/>
  <c r="F344" i="4" s="1"/>
  <c r="AN113" i="4"/>
  <c r="AM113" i="4"/>
  <c r="AL113" i="4"/>
  <c r="AK113" i="4"/>
  <c r="AJ113" i="4"/>
  <c r="AI113" i="4"/>
  <c r="AH113" i="4"/>
  <c r="AG113" i="4"/>
  <c r="AF113" i="4"/>
  <c r="AE113" i="4"/>
  <c r="AD113" i="4"/>
  <c r="AC113" i="4"/>
  <c r="AB113" i="4"/>
  <c r="AA113" i="4"/>
  <c r="Z113" i="4"/>
  <c r="Y113" i="4"/>
  <c r="X113" i="4"/>
  <c r="W113" i="4"/>
  <c r="V113" i="4"/>
  <c r="U113" i="4"/>
  <c r="T113" i="4"/>
  <c r="S113" i="4"/>
  <c r="R113" i="4"/>
  <c r="Q113" i="4"/>
  <c r="P113" i="4"/>
  <c r="O113" i="4"/>
  <c r="N113" i="4"/>
  <c r="M113" i="4"/>
  <c r="L113" i="4"/>
  <c r="K113" i="4"/>
  <c r="J113" i="4"/>
  <c r="I113" i="4"/>
  <c r="H113" i="4"/>
  <c r="G113" i="4"/>
  <c r="AM112" i="4"/>
  <c r="AL112" i="4"/>
  <c r="AK112" i="4"/>
  <c r="AJ112" i="4"/>
  <c r="AI112" i="4"/>
  <c r="AH112" i="4"/>
  <c r="AG112" i="4"/>
  <c r="AF112" i="4"/>
  <c r="AE112" i="4"/>
  <c r="AD112" i="4"/>
  <c r="AC112" i="4"/>
  <c r="AB112" i="4"/>
  <c r="AA112" i="4"/>
  <c r="Z112" i="4"/>
  <c r="Y112" i="4"/>
  <c r="X112" i="4"/>
  <c r="W112" i="4"/>
  <c r="V112" i="4"/>
  <c r="U112" i="4"/>
  <c r="T112" i="4"/>
  <c r="S112" i="4"/>
  <c r="R112" i="4"/>
  <c r="Q112" i="4"/>
  <c r="P112" i="4"/>
  <c r="O112" i="4"/>
  <c r="N112" i="4"/>
  <c r="M112" i="4"/>
  <c r="L112" i="4"/>
  <c r="K112" i="4"/>
  <c r="J112" i="4"/>
  <c r="I112" i="4"/>
  <c r="H112" i="4"/>
  <c r="G112" i="4"/>
  <c r="AM111" i="4"/>
  <c r="AL111" i="4"/>
  <c r="AK111" i="4"/>
  <c r="AJ111" i="4"/>
  <c r="AI111" i="4"/>
  <c r="AH111" i="4"/>
  <c r="AG111" i="4"/>
  <c r="AF111" i="4"/>
  <c r="AE111" i="4"/>
  <c r="AD111" i="4"/>
  <c r="AC111" i="4"/>
  <c r="AB111" i="4"/>
  <c r="AA111" i="4"/>
  <c r="Z111" i="4"/>
  <c r="Y111" i="4"/>
  <c r="X111" i="4"/>
  <c r="W111" i="4"/>
  <c r="V111" i="4"/>
  <c r="U111" i="4"/>
  <c r="T111" i="4"/>
  <c r="S111" i="4"/>
  <c r="R111" i="4"/>
  <c r="Q111" i="4"/>
  <c r="P111" i="4"/>
  <c r="O111" i="4"/>
  <c r="N111" i="4"/>
  <c r="M111" i="4"/>
  <c r="L111" i="4"/>
  <c r="K111" i="4"/>
  <c r="J111" i="4"/>
  <c r="AN111" i="4" s="1"/>
  <c r="I111" i="4"/>
  <c r="H111" i="4"/>
  <c r="G111" i="4"/>
  <c r="AM110" i="4"/>
  <c r="AL110" i="4"/>
  <c r="AK110" i="4"/>
  <c r="AJ110" i="4"/>
  <c r="AI110" i="4"/>
  <c r="AH110" i="4"/>
  <c r="AG110" i="4"/>
  <c r="AF110" i="4"/>
  <c r="AE110" i="4"/>
  <c r="AD110" i="4"/>
  <c r="AC110" i="4"/>
  <c r="AB110" i="4"/>
  <c r="AA110" i="4"/>
  <c r="Z110" i="4"/>
  <c r="Y110" i="4"/>
  <c r="X110" i="4"/>
  <c r="W110" i="4"/>
  <c r="V110" i="4"/>
  <c r="U110" i="4"/>
  <c r="T110" i="4"/>
  <c r="S110" i="4"/>
  <c r="R110" i="4"/>
  <c r="Q110" i="4"/>
  <c r="P110" i="4"/>
  <c r="O110" i="4"/>
  <c r="N110" i="4"/>
  <c r="M110" i="4"/>
  <c r="L110" i="4"/>
  <c r="K110" i="4"/>
  <c r="J110" i="4"/>
  <c r="I110" i="4"/>
  <c r="H110" i="4"/>
  <c r="G110" i="4"/>
  <c r="AM109" i="4"/>
  <c r="AL109" i="4"/>
  <c r="AK109" i="4"/>
  <c r="AJ109" i="4"/>
  <c r="AI109" i="4"/>
  <c r="AH109" i="4"/>
  <c r="AG109" i="4"/>
  <c r="AF109" i="4"/>
  <c r="AE109" i="4"/>
  <c r="AD109" i="4"/>
  <c r="AC109" i="4"/>
  <c r="AB109" i="4"/>
  <c r="AA109" i="4"/>
  <c r="Z109" i="4"/>
  <c r="Y109" i="4"/>
  <c r="X109" i="4"/>
  <c r="W109" i="4"/>
  <c r="V109" i="4"/>
  <c r="U109" i="4"/>
  <c r="T109" i="4"/>
  <c r="S109" i="4"/>
  <c r="R109" i="4"/>
  <c r="Q109" i="4"/>
  <c r="P109" i="4"/>
  <c r="O109" i="4"/>
  <c r="N109" i="4"/>
  <c r="M109" i="4"/>
  <c r="L109" i="4"/>
  <c r="K109" i="4"/>
  <c r="J109" i="4"/>
  <c r="I109" i="4"/>
  <c r="H109" i="4"/>
  <c r="G109" i="4"/>
  <c r="AN109" i="4" s="1"/>
  <c r="AN108" i="4"/>
  <c r="AM108" i="4"/>
  <c r="AL108" i="4"/>
  <c r="AK108" i="4"/>
  <c r="AJ108" i="4"/>
  <c r="AI108" i="4"/>
  <c r="AH108" i="4"/>
  <c r="AG108" i="4"/>
  <c r="AF108" i="4"/>
  <c r="AE108" i="4"/>
  <c r="AD108" i="4"/>
  <c r="AC108" i="4"/>
  <c r="AB108" i="4"/>
  <c r="AA108" i="4"/>
  <c r="Z108" i="4"/>
  <c r="Y108" i="4"/>
  <c r="X108" i="4"/>
  <c r="W108" i="4"/>
  <c r="V108" i="4"/>
  <c r="U108" i="4"/>
  <c r="T108" i="4"/>
  <c r="S108" i="4"/>
  <c r="R108" i="4"/>
  <c r="Q108" i="4"/>
  <c r="P108" i="4"/>
  <c r="O108" i="4"/>
  <c r="N108" i="4"/>
  <c r="M108" i="4"/>
  <c r="L108" i="4"/>
  <c r="K108" i="4"/>
  <c r="J108" i="4"/>
  <c r="I108" i="4"/>
  <c r="H108" i="4"/>
  <c r="G108" i="4"/>
  <c r="AM107" i="4"/>
  <c r="AL107" i="4"/>
  <c r="AK107" i="4"/>
  <c r="AJ107" i="4"/>
  <c r="AI107" i="4"/>
  <c r="AH107" i="4"/>
  <c r="AG107" i="4"/>
  <c r="AF107" i="4"/>
  <c r="AE107" i="4"/>
  <c r="AD107" i="4"/>
  <c r="AC107" i="4"/>
  <c r="AB107" i="4"/>
  <c r="AA107" i="4"/>
  <c r="Z107" i="4"/>
  <c r="Y107" i="4"/>
  <c r="X107" i="4"/>
  <c r="W107" i="4"/>
  <c r="V107" i="4"/>
  <c r="U107" i="4"/>
  <c r="T107" i="4"/>
  <c r="S107" i="4"/>
  <c r="R107" i="4"/>
  <c r="Q107" i="4"/>
  <c r="P107" i="4"/>
  <c r="O107" i="4"/>
  <c r="N107" i="4"/>
  <c r="M107" i="4"/>
  <c r="L107" i="4"/>
  <c r="K107" i="4"/>
  <c r="J107" i="4"/>
  <c r="I107" i="4"/>
  <c r="H107" i="4"/>
  <c r="G107" i="4"/>
  <c r="F104" i="4"/>
  <c r="F343" i="4" s="1"/>
  <c r="E104" i="4"/>
  <c r="E343" i="4" s="1"/>
  <c r="D104" i="4"/>
  <c r="D343" i="4" s="1"/>
  <c r="F94" i="4"/>
  <c r="E94" i="4"/>
  <c r="D94" i="4"/>
  <c r="C94" i="4"/>
  <c r="F93" i="4"/>
  <c r="E93" i="4"/>
  <c r="D93" i="4"/>
  <c r="C93" i="4"/>
  <c r="F92" i="4"/>
  <c r="C92" i="4"/>
  <c r="F91" i="4"/>
  <c r="E91" i="4"/>
  <c r="D91" i="4"/>
  <c r="C91" i="4"/>
  <c r="F90" i="4"/>
  <c r="E90" i="4"/>
  <c r="D90" i="4"/>
  <c r="C90" i="4"/>
  <c r="C89" i="4"/>
  <c r="E77" i="4"/>
  <c r="D70" i="4"/>
  <c r="E69" i="4"/>
  <c r="D69" i="4"/>
  <c r="C58" i="4"/>
  <c r="AN55" i="4"/>
  <c r="F52" i="4"/>
  <c r="F89" i="4" s="1"/>
  <c r="E52" i="4"/>
  <c r="D52" i="4"/>
  <c r="F50" i="4"/>
  <c r="E50" i="4"/>
  <c r="D50" i="4"/>
  <c r="D40" i="4" s="1"/>
  <c r="F48" i="4"/>
  <c r="E48" i="4"/>
  <c r="D48" i="4"/>
  <c r="F46" i="4"/>
  <c r="E46" i="4"/>
  <c r="D46" i="4"/>
  <c r="F44" i="4"/>
  <c r="E44" i="4"/>
  <c r="D44" i="4"/>
  <c r="C42" i="4"/>
  <c r="F40" i="4"/>
  <c r="E40" i="4"/>
  <c r="E39" i="4"/>
  <c r="F38" i="4"/>
  <c r="F28" i="4" s="1"/>
  <c r="F36" i="4"/>
  <c r="E36" i="4"/>
  <c r="D36" i="4"/>
  <c r="D28" i="4" s="1"/>
  <c r="C35" i="4"/>
  <c r="C60" i="4" s="1"/>
  <c r="F34" i="4"/>
  <c r="E34" i="4"/>
  <c r="D34" i="4"/>
  <c r="C33" i="4"/>
  <c r="F32" i="4"/>
  <c r="E32" i="4"/>
  <c r="D32" i="4"/>
  <c r="C31" i="4"/>
  <c r="C56" i="4" s="1"/>
  <c r="C30" i="4"/>
  <c r="E28" i="4"/>
  <c r="F26" i="4"/>
  <c r="F24" i="4"/>
  <c r="E24" i="4"/>
  <c r="D24" i="4"/>
  <c r="C23" i="4"/>
  <c r="E22" i="4"/>
  <c r="D22" i="4"/>
  <c r="C21" i="4"/>
  <c r="F20" i="4"/>
  <c r="F22" i="4" s="1"/>
  <c r="E20" i="4"/>
  <c r="D20" i="4"/>
  <c r="C19" i="4"/>
  <c r="F16" i="4"/>
  <c r="F27" i="4" s="1"/>
  <c r="D16" i="4"/>
  <c r="D68" i="4" s="1"/>
  <c r="E4" i="4"/>
  <c r="F4" i="4" s="1"/>
  <c r="C4" i="4"/>
  <c r="O84" i="3"/>
  <c r="N84" i="3"/>
  <c r="M84" i="3"/>
  <c r="M85" i="3" s="1"/>
  <c r="L84" i="3"/>
  <c r="K84" i="3"/>
  <c r="L83" i="3" s="1"/>
  <c r="J84" i="3"/>
  <c r="I84" i="3"/>
  <c r="H84" i="3"/>
  <c r="H85" i="3" s="1"/>
  <c r="G84" i="3"/>
  <c r="G85" i="3" s="1"/>
  <c r="F84" i="3"/>
  <c r="F85" i="3" s="1"/>
  <c r="E84" i="3"/>
  <c r="F83" i="3" s="1"/>
  <c r="D84" i="3"/>
  <c r="E83" i="3" s="1"/>
  <c r="N83" i="3"/>
  <c r="M83" i="3"/>
  <c r="J83" i="3"/>
  <c r="I83" i="3"/>
  <c r="H83" i="3"/>
  <c r="G83" i="3"/>
  <c r="D83" i="3"/>
  <c r="O79" i="3"/>
  <c r="N79" i="3"/>
  <c r="O78" i="3"/>
  <c r="N78" i="3"/>
  <c r="O77" i="3" s="1"/>
  <c r="M78" i="3"/>
  <c r="M79" i="3" s="1"/>
  <c r="L78" i="3"/>
  <c r="K78" i="3"/>
  <c r="J78" i="3"/>
  <c r="I78" i="3"/>
  <c r="H78" i="3"/>
  <c r="I77" i="3" s="1"/>
  <c r="G78" i="3"/>
  <c r="F78" i="3"/>
  <c r="F79" i="3" s="1"/>
  <c r="E78" i="3"/>
  <c r="E79" i="3" s="1"/>
  <c r="D78" i="3"/>
  <c r="D79" i="3" s="1"/>
  <c r="N77" i="3"/>
  <c r="M77" i="3"/>
  <c r="K77" i="3"/>
  <c r="J77" i="3"/>
  <c r="G77" i="3"/>
  <c r="F77" i="3"/>
  <c r="E77" i="3"/>
  <c r="D77" i="3"/>
  <c r="J73" i="3"/>
  <c r="O72" i="3"/>
  <c r="O73" i="3" s="1"/>
  <c r="N72" i="3"/>
  <c r="N73" i="3" s="1"/>
  <c r="M72" i="3"/>
  <c r="M73" i="3" s="1"/>
  <c r="L72" i="3"/>
  <c r="K72" i="3"/>
  <c r="L71" i="3" s="1"/>
  <c r="J72" i="3"/>
  <c r="K71" i="3" s="1"/>
  <c r="I72" i="3"/>
  <c r="J71" i="3" s="1"/>
  <c r="H72" i="3"/>
  <c r="H73" i="3" s="1"/>
  <c r="G72" i="3"/>
  <c r="G73" i="3" s="1"/>
  <c r="F72" i="3"/>
  <c r="F73" i="3" s="1"/>
  <c r="E72" i="3"/>
  <c r="F71" i="3" s="1"/>
  <c r="D72" i="3"/>
  <c r="E71" i="3" s="1"/>
  <c r="O71" i="3"/>
  <c r="N71" i="3"/>
  <c r="M71" i="3"/>
  <c r="I71" i="3"/>
  <c r="I73" i="3" s="1"/>
  <c r="H71" i="3"/>
  <c r="G71" i="3"/>
  <c r="D71" i="3"/>
  <c r="D55" i="3"/>
  <c r="O53" i="3"/>
  <c r="O51" i="3" s="1"/>
  <c r="N53" i="3"/>
  <c r="N51" i="3" s="1"/>
  <c r="M53" i="3"/>
  <c r="M51" i="3" s="1"/>
  <c r="L53" i="3"/>
  <c r="L51" i="3" s="1"/>
  <c r="K53" i="3"/>
  <c r="J53" i="3"/>
  <c r="I53" i="3"/>
  <c r="H53" i="3"/>
  <c r="K51" i="3"/>
  <c r="J51" i="3"/>
  <c r="I51" i="3"/>
  <c r="H51" i="3"/>
  <c r="O48" i="3"/>
  <c r="N48" i="3"/>
  <c r="M48" i="3"/>
  <c r="L48" i="3"/>
  <c r="K48" i="3"/>
  <c r="J48" i="3"/>
  <c r="I48" i="3"/>
  <c r="H48" i="3"/>
  <c r="G48" i="3"/>
  <c r="F48" i="3"/>
  <c r="E48" i="3"/>
  <c r="D48" i="3"/>
  <c r="D46" i="3"/>
  <c r="D50" i="3" s="1"/>
  <c r="D49" i="3" s="1"/>
  <c r="D45" i="3"/>
  <c r="C44" i="3"/>
  <c r="S43" i="3"/>
  <c r="S42" i="3"/>
  <c r="O38" i="3"/>
  <c r="N38" i="3"/>
  <c r="M38" i="3"/>
  <c r="L38" i="3"/>
  <c r="K38" i="3"/>
  <c r="K36" i="3" s="1"/>
  <c r="J38" i="3"/>
  <c r="J36" i="3" s="1"/>
  <c r="I38" i="3"/>
  <c r="I36" i="3" s="1"/>
  <c r="H38" i="3"/>
  <c r="H36" i="3" s="1"/>
  <c r="G38" i="3"/>
  <c r="F38" i="3"/>
  <c r="O36" i="3"/>
  <c r="N36" i="3"/>
  <c r="M36" i="3"/>
  <c r="L36" i="3"/>
  <c r="G36" i="3"/>
  <c r="F36" i="3"/>
  <c r="D35" i="3"/>
  <c r="O33" i="3"/>
  <c r="N33" i="3"/>
  <c r="M33" i="3"/>
  <c r="L33" i="3"/>
  <c r="K33" i="3"/>
  <c r="J33" i="3"/>
  <c r="I33" i="3"/>
  <c r="H33" i="3"/>
  <c r="G33" i="3"/>
  <c r="F33" i="3"/>
  <c r="E33" i="3"/>
  <c r="D33" i="3"/>
  <c r="D31" i="3"/>
  <c r="D30" i="3" s="1"/>
  <c r="C29" i="3"/>
  <c r="O23" i="3"/>
  <c r="N23" i="3"/>
  <c r="N21" i="3" s="1"/>
  <c r="M23" i="3"/>
  <c r="L23" i="3"/>
  <c r="K23" i="3"/>
  <c r="J23" i="3"/>
  <c r="I23" i="3"/>
  <c r="H23" i="3"/>
  <c r="O21" i="3"/>
  <c r="M21" i="3"/>
  <c r="L21" i="3"/>
  <c r="K21" i="3"/>
  <c r="J21" i="3"/>
  <c r="I21" i="3"/>
  <c r="H21" i="3"/>
  <c r="G21" i="3"/>
  <c r="F21" i="3"/>
  <c r="E21" i="3"/>
  <c r="D21" i="3"/>
  <c r="O18" i="3"/>
  <c r="N18" i="3"/>
  <c r="M18" i="3"/>
  <c r="L18" i="3"/>
  <c r="K18" i="3"/>
  <c r="J18" i="3"/>
  <c r="I18" i="3"/>
  <c r="H18" i="3"/>
  <c r="G18" i="3"/>
  <c r="F18" i="3"/>
  <c r="E18" i="3"/>
  <c r="D18" i="3"/>
  <c r="C16" i="3"/>
  <c r="D16" i="3" s="1"/>
  <c r="D15" i="3"/>
  <c r="C14" i="3"/>
  <c r="E6" i="3"/>
  <c r="E7" i="3" s="1"/>
  <c r="F6" i="3" s="1"/>
  <c r="F7" i="3" s="1"/>
  <c r="G6" i="3" s="1"/>
  <c r="G7" i="3" s="1"/>
  <c r="H6" i="3" s="1"/>
  <c r="H7" i="3" s="1"/>
  <c r="I6" i="3" s="1"/>
  <c r="I7" i="3" s="1"/>
  <c r="J6" i="3" s="1"/>
  <c r="J7" i="3" s="1"/>
  <c r="K6" i="3" s="1"/>
  <c r="K7" i="3" s="1"/>
  <c r="L6" i="3" s="1"/>
  <c r="L7" i="3" s="1"/>
  <c r="M6" i="3" s="1"/>
  <c r="M7" i="3" s="1"/>
  <c r="N6" i="3" s="1"/>
  <c r="N7" i="3" s="1"/>
  <c r="O6" i="3" s="1"/>
  <c r="O7" i="3" s="1"/>
  <c r="D6" i="3"/>
  <c r="D7" i="3" s="1"/>
  <c r="C5" i="3"/>
  <c r="C58" i="2"/>
  <c r="X40" i="2"/>
  <c r="X39" i="2"/>
  <c r="X38" i="2"/>
  <c r="X37" i="2"/>
  <c r="X36" i="2"/>
  <c r="W35" i="2"/>
  <c r="V35" i="2"/>
  <c r="U35" i="2"/>
  <c r="T35" i="2"/>
  <c r="S35" i="2"/>
  <c r="R35" i="2"/>
  <c r="Q35" i="2"/>
  <c r="P35" i="2"/>
  <c r="O35" i="2"/>
  <c r="N35" i="2"/>
  <c r="M35" i="2"/>
  <c r="L35" i="2"/>
  <c r="X35" i="2" s="1"/>
  <c r="K35" i="2"/>
  <c r="J35" i="2"/>
  <c r="I35" i="2"/>
  <c r="H35" i="2"/>
  <c r="G35" i="2"/>
  <c r="F35" i="2"/>
  <c r="E35" i="2"/>
  <c r="D35" i="2"/>
  <c r="C35" i="2"/>
  <c r="B35" i="2"/>
  <c r="X34" i="2"/>
  <c r="X33" i="2"/>
  <c r="X32" i="2"/>
  <c r="X31" i="2"/>
  <c r="X30" i="2"/>
  <c r="B29" i="2"/>
  <c r="X29" i="2" s="1"/>
  <c r="C55" i="2" s="1"/>
  <c r="X28" i="2"/>
  <c r="W27" i="2"/>
  <c r="V27" i="2"/>
  <c r="U27" i="2"/>
  <c r="T27" i="2"/>
  <c r="S27" i="2"/>
  <c r="R27" i="2"/>
  <c r="Q27" i="2"/>
  <c r="P27" i="2"/>
  <c r="O27" i="2"/>
  <c r="N27" i="2"/>
  <c r="M27" i="2"/>
  <c r="L27" i="2"/>
  <c r="K27" i="2"/>
  <c r="J27" i="2"/>
  <c r="I27" i="2"/>
  <c r="H27" i="2"/>
  <c r="G27" i="2"/>
  <c r="X27" i="2" s="1"/>
  <c r="F27" i="2"/>
  <c r="E27" i="2"/>
  <c r="D27" i="2"/>
  <c r="C27" i="2"/>
  <c r="B27" i="2"/>
  <c r="X26" i="2"/>
  <c r="X25" i="2"/>
  <c r="X24" i="2"/>
  <c r="X23" i="2"/>
  <c r="H23" i="2"/>
  <c r="T22" i="2"/>
  <c r="T6" i="2" s="1"/>
  <c r="Q22" i="2"/>
  <c r="M22" i="2"/>
  <c r="L22" i="2"/>
  <c r="K22" i="2"/>
  <c r="H22" i="2"/>
  <c r="B22" i="2"/>
  <c r="X22" i="2" s="1"/>
  <c r="X21" i="2"/>
  <c r="U21" i="2"/>
  <c r="X20" i="2"/>
  <c r="F20" i="2"/>
  <c r="M19" i="2"/>
  <c r="L19" i="2"/>
  <c r="K19" i="2"/>
  <c r="I19" i="2"/>
  <c r="H19" i="2"/>
  <c r="G19" i="2"/>
  <c r="F19" i="2"/>
  <c r="D19" i="2"/>
  <c r="X19" i="2" s="1"/>
  <c r="C19" i="2"/>
  <c r="X18" i="2"/>
  <c r="X17" i="2"/>
  <c r="U16" i="2"/>
  <c r="U6" i="2" s="1"/>
  <c r="Q16" i="2"/>
  <c r="Q6" i="2" s="1"/>
  <c r="N16" i="2"/>
  <c r="M16" i="2"/>
  <c r="L16" i="2"/>
  <c r="K16" i="2"/>
  <c r="I16" i="2"/>
  <c r="G16" i="2"/>
  <c r="C16" i="2"/>
  <c r="C6" i="2" s="1"/>
  <c r="B16" i="2"/>
  <c r="X16" i="2" s="1"/>
  <c r="V15" i="2"/>
  <c r="H15" i="2"/>
  <c r="X15" i="2" s="1"/>
  <c r="X14" i="2"/>
  <c r="V14" i="2"/>
  <c r="J14" i="2"/>
  <c r="X13" i="2"/>
  <c r="I12" i="2"/>
  <c r="G12" i="2"/>
  <c r="F12" i="2"/>
  <c r="M11" i="2"/>
  <c r="M6" i="2" s="1"/>
  <c r="H11" i="2"/>
  <c r="X11" i="2" s="1"/>
  <c r="X10" i="2"/>
  <c r="P9" i="2"/>
  <c r="I9" i="2"/>
  <c r="H9" i="2"/>
  <c r="G9" i="2"/>
  <c r="F9" i="2"/>
  <c r="X9" i="2" s="1"/>
  <c r="X8" i="2"/>
  <c r="I8" i="2"/>
  <c r="I6" i="2" s="1"/>
  <c r="H8" i="2"/>
  <c r="H6" i="2" s="1"/>
  <c r="G8" i="2"/>
  <c r="F8" i="2"/>
  <c r="F6" i="2" s="1"/>
  <c r="E8" i="2"/>
  <c r="I7" i="2"/>
  <c r="H7" i="2"/>
  <c r="G7" i="2"/>
  <c r="F7" i="2"/>
  <c r="E7" i="2"/>
  <c r="E6" i="2" s="1"/>
  <c r="D7" i="2"/>
  <c r="W6" i="2"/>
  <c r="V6" i="2"/>
  <c r="S6" i="2"/>
  <c r="R6" i="2"/>
  <c r="P6" i="2"/>
  <c r="O6" i="2"/>
  <c r="N6" i="2"/>
  <c r="L6" i="2"/>
  <c r="K6" i="2"/>
  <c r="J6" i="2"/>
  <c r="B6" i="2"/>
  <c r="B41" i="2" s="1"/>
  <c r="C5" i="2" s="1"/>
  <c r="C41" i="2" s="1"/>
  <c r="D5" i="2" s="1"/>
  <c r="Z5" i="2"/>
  <c r="Y5" i="2"/>
  <c r="W5" i="2"/>
  <c r="AD464" i="1"/>
  <c r="AC464" i="1"/>
  <c r="AB464" i="1"/>
  <c r="AA464" i="1"/>
  <c r="Z464" i="1"/>
  <c r="Y464" i="1"/>
  <c r="X464" i="1"/>
  <c r="W464" i="1"/>
  <c r="V464" i="1"/>
  <c r="U464" i="1"/>
  <c r="T464" i="1"/>
  <c r="S464" i="1"/>
  <c r="R464" i="1"/>
  <c r="Q464" i="1"/>
  <c r="P464" i="1"/>
  <c r="O464" i="1"/>
  <c r="N464" i="1"/>
  <c r="M464" i="1"/>
  <c r="L464" i="1"/>
  <c r="K464" i="1"/>
  <c r="J464" i="1"/>
  <c r="I464" i="1"/>
  <c r="H464" i="1"/>
  <c r="G464" i="1"/>
  <c r="F464" i="1"/>
  <c r="E464" i="1"/>
  <c r="D464" i="1"/>
  <c r="W461" i="1"/>
  <c r="N461" i="1"/>
  <c r="M461" i="1"/>
  <c r="K461" i="1"/>
  <c r="AE453" i="1"/>
  <c r="AD445" i="1"/>
  <c r="AD461" i="1" s="1"/>
  <c r="AC445" i="1"/>
  <c r="AC461" i="1" s="1"/>
  <c r="AB445" i="1"/>
  <c r="AB461" i="1" s="1"/>
  <c r="AA445" i="1"/>
  <c r="AA461" i="1" s="1"/>
  <c r="Z445" i="1"/>
  <c r="Z461" i="1" s="1"/>
  <c r="Y445" i="1"/>
  <c r="Y461" i="1" s="1"/>
  <c r="X445" i="1"/>
  <c r="X461" i="1" s="1"/>
  <c r="W445" i="1"/>
  <c r="V445" i="1"/>
  <c r="V461" i="1" s="1"/>
  <c r="U445" i="1"/>
  <c r="U461" i="1" s="1"/>
  <c r="T445" i="1"/>
  <c r="T461" i="1" s="1"/>
  <c r="S445" i="1"/>
  <c r="S461" i="1" s="1"/>
  <c r="R445" i="1"/>
  <c r="R461" i="1" s="1"/>
  <c r="Q445" i="1"/>
  <c r="Q461" i="1" s="1"/>
  <c r="P445" i="1"/>
  <c r="P461" i="1" s="1"/>
  <c r="O445" i="1"/>
  <c r="O461" i="1" s="1"/>
  <c r="N445" i="1"/>
  <c r="M445" i="1"/>
  <c r="L445" i="1"/>
  <c r="L461" i="1" s="1"/>
  <c r="K445" i="1"/>
  <c r="J445" i="1"/>
  <c r="J461" i="1" s="1"/>
  <c r="I445" i="1"/>
  <c r="I461" i="1" s="1"/>
  <c r="H445" i="1"/>
  <c r="H461" i="1" s="1"/>
  <c r="G445" i="1"/>
  <c r="G461" i="1" s="1"/>
  <c r="F445" i="1"/>
  <c r="F461" i="1" s="1"/>
  <c r="E445" i="1"/>
  <c r="E461" i="1" s="1"/>
  <c r="D445" i="1"/>
  <c r="D461" i="1" s="1"/>
  <c r="D437" i="1"/>
  <c r="D431" i="1"/>
  <c r="D425" i="1"/>
  <c r="D419" i="1"/>
  <c r="E407" i="1"/>
  <c r="E408" i="1" s="1"/>
  <c r="F407" i="1" s="1"/>
  <c r="F408" i="1" s="1"/>
  <c r="G407" i="1" s="1"/>
  <c r="G408" i="1" s="1"/>
  <c r="H407" i="1" s="1"/>
  <c r="H408" i="1" s="1"/>
  <c r="I407" i="1" s="1"/>
  <c r="I408" i="1" s="1"/>
  <c r="J407" i="1" s="1"/>
  <c r="J408" i="1" s="1"/>
  <c r="K407" i="1" s="1"/>
  <c r="K408" i="1" s="1"/>
  <c r="L407" i="1" s="1"/>
  <c r="L408" i="1" s="1"/>
  <c r="M407" i="1" s="1"/>
  <c r="M408" i="1" s="1"/>
  <c r="N407" i="1" s="1"/>
  <c r="N408" i="1" s="1"/>
  <c r="O407" i="1" s="1"/>
  <c r="O408" i="1" s="1"/>
  <c r="P407" i="1" s="1"/>
  <c r="P408" i="1" s="1"/>
  <c r="D407" i="1"/>
  <c r="AD401" i="1"/>
  <c r="AD440" i="1" s="1"/>
  <c r="AC401" i="1"/>
  <c r="AC440" i="1" s="1"/>
  <c r="AB401" i="1"/>
  <c r="AB440" i="1" s="1"/>
  <c r="AA401" i="1"/>
  <c r="AA440" i="1" s="1"/>
  <c r="Z401" i="1"/>
  <c r="Z440" i="1" s="1"/>
  <c r="Y401" i="1"/>
  <c r="Y440" i="1" s="1"/>
  <c r="X401" i="1"/>
  <c r="X440" i="1" s="1"/>
  <c r="W401" i="1"/>
  <c r="W440" i="1" s="1"/>
  <c r="V401" i="1"/>
  <c r="V440" i="1" s="1"/>
  <c r="U401" i="1"/>
  <c r="U440" i="1" s="1"/>
  <c r="T401" i="1"/>
  <c r="T440" i="1" s="1"/>
  <c r="S401" i="1"/>
  <c r="S440" i="1" s="1"/>
  <c r="R401" i="1"/>
  <c r="R440" i="1" s="1"/>
  <c r="Q401" i="1"/>
  <c r="Q440" i="1" s="1"/>
  <c r="P401" i="1"/>
  <c r="P440" i="1" s="1"/>
  <c r="O401" i="1"/>
  <c r="O440" i="1" s="1"/>
  <c r="N401" i="1"/>
  <c r="N440" i="1" s="1"/>
  <c r="M401" i="1"/>
  <c r="M440" i="1" s="1"/>
  <c r="L401" i="1"/>
  <c r="L440" i="1" s="1"/>
  <c r="K401" i="1"/>
  <c r="K440" i="1" s="1"/>
  <c r="J401" i="1"/>
  <c r="J440" i="1" s="1"/>
  <c r="I401" i="1"/>
  <c r="I440" i="1" s="1"/>
  <c r="H401" i="1"/>
  <c r="H440" i="1" s="1"/>
  <c r="G401" i="1"/>
  <c r="G440" i="1" s="1"/>
  <c r="F401" i="1"/>
  <c r="F440" i="1" s="1"/>
  <c r="E401" i="1"/>
  <c r="E440" i="1" s="1"/>
  <c r="D401" i="1"/>
  <c r="D440" i="1" s="1"/>
  <c r="AD379" i="1"/>
  <c r="AD439" i="1" s="1"/>
  <c r="AC379" i="1"/>
  <c r="AC439" i="1" s="1"/>
  <c r="AB379" i="1"/>
  <c r="AB439" i="1" s="1"/>
  <c r="AA379" i="1"/>
  <c r="AA439" i="1" s="1"/>
  <c r="Z379" i="1"/>
  <c r="Z439" i="1" s="1"/>
  <c r="Y379" i="1"/>
  <c r="Y439" i="1" s="1"/>
  <c r="X379" i="1"/>
  <c r="X439" i="1" s="1"/>
  <c r="W379" i="1"/>
  <c r="W439" i="1" s="1"/>
  <c r="V379" i="1"/>
  <c r="V439" i="1" s="1"/>
  <c r="U379" i="1"/>
  <c r="U439" i="1" s="1"/>
  <c r="T379" i="1"/>
  <c r="T439" i="1" s="1"/>
  <c r="S379" i="1"/>
  <c r="S439" i="1" s="1"/>
  <c r="R379" i="1"/>
  <c r="R439" i="1" s="1"/>
  <c r="Q379" i="1"/>
  <c r="Q439" i="1" s="1"/>
  <c r="P379" i="1"/>
  <c r="P439" i="1" s="1"/>
  <c r="O379" i="1"/>
  <c r="O439" i="1" s="1"/>
  <c r="N379" i="1"/>
  <c r="N439" i="1" s="1"/>
  <c r="M379" i="1"/>
  <c r="M439" i="1" s="1"/>
  <c r="L379" i="1"/>
  <c r="L439" i="1" s="1"/>
  <c r="K379" i="1"/>
  <c r="K439" i="1" s="1"/>
  <c r="J379" i="1"/>
  <c r="J439" i="1" s="1"/>
  <c r="I379" i="1"/>
  <c r="I439" i="1" s="1"/>
  <c r="H379" i="1"/>
  <c r="H439" i="1" s="1"/>
  <c r="G379" i="1"/>
  <c r="G439" i="1" s="1"/>
  <c r="F379" i="1"/>
  <c r="F439" i="1" s="1"/>
  <c r="E379" i="1"/>
  <c r="E439" i="1" s="1"/>
  <c r="D379" i="1"/>
  <c r="D439" i="1" s="1"/>
  <c r="AD371" i="1"/>
  <c r="AC371" i="1"/>
  <c r="AB371" i="1"/>
  <c r="AA371" i="1"/>
  <c r="Z371" i="1"/>
  <c r="Y371" i="1"/>
  <c r="X371" i="1"/>
  <c r="W371" i="1"/>
  <c r="V371" i="1"/>
  <c r="U371" i="1"/>
  <c r="T371" i="1"/>
  <c r="S371" i="1"/>
  <c r="R371" i="1"/>
  <c r="Q371" i="1"/>
  <c r="P371" i="1"/>
  <c r="O371" i="1"/>
  <c r="N371" i="1"/>
  <c r="M371" i="1"/>
  <c r="L371" i="1"/>
  <c r="K371" i="1"/>
  <c r="J371" i="1"/>
  <c r="I371" i="1"/>
  <c r="H371" i="1"/>
  <c r="G371" i="1"/>
  <c r="F371" i="1"/>
  <c r="E371" i="1"/>
  <c r="D371" i="1"/>
  <c r="AD363" i="1"/>
  <c r="AD362" i="1" s="1"/>
  <c r="AD354" i="1" s="1"/>
  <c r="AC363" i="1"/>
  <c r="AB363" i="1"/>
  <c r="AA363" i="1"/>
  <c r="AA362" i="1" s="1"/>
  <c r="Z363" i="1"/>
  <c r="Z362" i="1" s="1"/>
  <c r="Y363" i="1"/>
  <c r="X363" i="1"/>
  <c r="W363" i="1"/>
  <c r="W362" i="1" s="1"/>
  <c r="V363" i="1"/>
  <c r="V362" i="1" s="1"/>
  <c r="U363" i="1"/>
  <c r="T363" i="1"/>
  <c r="T362" i="1" s="1"/>
  <c r="S363" i="1"/>
  <c r="R363" i="1"/>
  <c r="Q363" i="1"/>
  <c r="P363" i="1"/>
  <c r="O363" i="1"/>
  <c r="O362" i="1" s="1"/>
  <c r="N363" i="1"/>
  <c r="N362" i="1" s="1"/>
  <c r="M363" i="1"/>
  <c r="L363" i="1"/>
  <c r="K363" i="1"/>
  <c r="K362" i="1" s="1"/>
  <c r="J363" i="1"/>
  <c r="J362" i="1" s="1"/>
  <c r="J354" i="1" s="1"/>
  <c r="I363" i="1"/>
  <c r="H363" i="1"/>
  <c r="H362" i="1" s="1"/>
  <c r="G363" i="1"/>
  <c r="G362" i="1" s="1"/>
  <c r="F363" i="1"/>
  <c r="E363" i="1"/>
  <c r="D363" i="1"/>
  <c r="AC362" i="1"/>
  <c r="AB362" i="1"/>
  <c r="Y362" i="1"/>
  <c r="X362" i="1"/>
  <c r="U362" i="1"/>
  <c r="S362" i="1"/>
  <c r="R362" i="1"/>
  <c r="R354" i="1" s="1"/>
  <c r="Q362" i="1"/>
  <c r="P362" i="1"/>
  <c r="M362" i="1"/>
  <c r="L362" i="1"/>
  <c r="I362" i="1"/>
  <c r="F362" i="1"/>
  <c r="E362" i="1"/>
  <c r="AD360" i="1"/>
  <c r="AC360" i="1"/>
  <c r="AB360" i="1"/>
  <c r="AA360" i="1"/>
  <c r="AA356" i="1" s="1"/>
  <c r="AA354" i="1" s="1"/>
  <c r="Z360" i="1"/>
  <c r="Y360" i="1"/>
  <c r="X360" i="1"/>
  <c r="W360" i="1"/>
  <c r="V360" i="1"/>
  <c r="U360" i="1"/>
  <c r="T360" i="1"/>
  <c r="T356" i="1" s="1"/>
  <c r="T354" i="1" s="1"/>
  <c r="S360" i="1"/>
  <c r="R360" i="1"/>
  <c r="Q360" i="1"/>
  <c r="P360" i="1"/>
  <c r="O360" i="1"/>
  <c r="O356" i="1" s="1"/>
  <c r="O354" i="1" s="1"/>
  <c r="N360" i="1"/>
  <c r="M360" i="1"/>
  <c r="L360" i="1"/>
  <c r="K360" i="1"/>
  <c r="J360" i="1"/>
  <c r="I360" i="1"/>
  <c r="H360" i="1"/>
  <c r="G360" i="1"/>
  <c r="G356" i="1" s="1"/>
  <c r="G354" i="1" s="1"/>
  <c r="F360" i="1"/>
  <c r="E360" i="1"/>
  <c r="D360" i="1"/>
  <c r="AD359" i="1"/>
  <c r="AD356" i="1" s="1"/>
  <c r="AC359" i="1"/>
  <c r="AB359" i="1"/>
  <c r="AA359" i="1"/>
  <c r="Z359" i="1"/>
  <c r="Y359" i="1"/>
  <c r="X359" i="1"/>
  <c r="W359" i="1"/>
  <c r="V359" i="1"/>
  <c r="U359" i="1"/>
  <c r="T359" i="1"/>
  <c r="S359" i="1"/>
  <c r="R359" i="1"/>
  <c r="R356" i="1" s="1"/>
  <c r="Q359" i="1"/>
  <c r="P359" i="1"/>
  <c r="O359" i="1"/>
  <c r="N359" i="1"/>
  <c r="M359" i="1"/>
  <c r="L359" i="1"/>
  <c r="K359" i="1"/>
  <c r="K356" i="1" s="1"/>
  <c r="K354" i="1" s="1"/>
  <c r="J359" i="1"/>
  <c r="I359" i="1"/>
  <c r="H359" i="1"/>
  <c r="G359" i="1"/>
  <c r="F359" i="1"/>
  <c r="F356" i="1" s="1"/>
  <c r="E359" i="1"/>
  <c r="D359" i="1"/>
  <c r="AD358" i="1"/>
  <c r="AC358" i="1"/>
  <c r="AB358" i="1"/>
  <c r="AA358" i="1"/>
  <c r="Z358" i="1"/>
  <c r="Z356" i="1" s="1"/>
  <c r="Y358" i="1"/>
  <c r="X358" i="1"/>
  <c r="W358" i="1"/>
  <c r="V358" i="1"/>
  <c r="U358" i="1"/>
  <c r="U356" i="1" s="1"/>
  <c r="U354" i="1" s="1"/>
  <c r="T358" i="1"/>
  <c r="S358" i="1"/>
  <c r="R358" i="1"/>
  <c r="Q358" i="1"/>
  <c r="P358" i="1"/>
  <c r="O358" i="1"/>
  <c r="N358" i="1"/>
  <c r="N356" i="1" s="1"/>
  <c r="M358" i="1"/>
  <c r="L358" i="1"/>
  <c r="K358" i="1"/>
  <c r="J358" i="1"/>
  <c r="I358" i="1"/>
  <c r="I356" i="1" s="1"/>
  <c r="I354" i="1" s="1"/>
  <c r="H358" i="1"/>
  <c r="G358" i="1"/>
  <c r="F358" i="1"/>
  <c r="E358" i="1"/>
  <c r="D358" i="1"/>
  <c r="AD357" i="1"/>
  <c r="AC357" i="1"/>
  <c r="AC356" i="1" s="1"/>
  <c r="AC354" i="1" s="1"/>
  <c r="AB357" i="1"/>
  <c r="AB356" i="1" s="1"/>
  <c r="AB354" i="1" s="1"/>
  <c r="AA357" i="1"/>
  <c r="Z357" i="1"/>
  <c r="Y357" i="1"/>
  <c r="Y356" i="1" s="1"/>
  <c r="Y354" i="1" s="1"/>
  <c r="X357" i="1"/>
  <c r="X356" i="1" s="1"/>
  <c r="X354" i="1" s="1"/>
  <c r="W357" i="1"/>
  <c r="V357" i="1"/>
  <c r="V356" i="1" s="1"/>
  <c r="U357" i="1"/>
  <c r="T357" i="1"/>
  <c r="S357" i="1"/>
  <c r="R357" i="1"/>
  <c r="Q357" i="1"/>
  <c r="Q356" i="1" s="1"/>
  <c r="Q354" i="1" s="1"/>
  <c r="P357" i="1"/>
  <c r="P356" i="1" s="1"/>
  <c r="P354" i="1" s="1"/>
  <c r="O357" i="1"/>
  <c r="N357" i="1"/>
  <c r="M357" i="1"/>
  <c r="M356" i="1" s="1"/>
  <c r="M354" i="1" s="1"/>
  <c r="L357" i="1"/>
  <c r="L356" i="1" s="1"/>
  <c r="L354" i="1" s="1"/>
  <c r="K357" i="1"/>
  <c r="J357" i="1"/>
  <c r="J356" i="1" s="1"/>
  <c r="I357" i="1"/>
  <c r="H357" i="1"/>
  <c r="H356" i="1" s="1"/>
  <c r="H354" i="1" s="1"/>
  <c r="G357" i="1"/>
  <c r="F357" i="1"/>
  <c r="E357" i="1"/>
  <c r="E356" i="1" s="1"/>
  <c r="E354" i="1" s="1"/>
  <c r="D357" i="1"/>
  <c r="D356" i="1" s="1"/>
  <c r="D354" i="1" s="1"/>
  <c r="W356" i="1"/>
  <c r="W354" i="1" s="1"/>
  <c r="S356" i="1"/>
  <c r="S354" i="1" s="1"/>
  <c r="V354" i="1"/>
  <c r="AD349" i="1"/>
  <c r="AC349" i="1"/>
  <c r="AB349" i="1"/>
  <c r="AA349" i="1"/>
  <c r="AA346" i="1" s="1"/>
  <c r="Z349" i="1"/>
  <c r="Y349" i="1"/>
  <c r="X349" i="1"/>
  <c r="W349" i="1"/>
  <c r="V349" i="1"/>
  <c r="U349" i="1"/>
  <c r="T349" i="1"/>
  <c r="S349" i="1"/>
  <c r="R349" i="1"/>
  <c r="Q349" i="1"/>
  <c r="P349" i="1"/>
  <c r="O349" i="1"/>
  <c r="O346" i="1" s="1"/>
  <c r="N349" i="1"/>
  <c r="M349" i="1"/>
  <c r="L349" i="1"/>
  <c r="K349" i="1"/>
  <c r="K346" i="1" s="1"/>
  <c r="J349" i="1"/>
  <c r="I349" i="1"/>
  <c r="H349" i="1"/>
  <c r="G349" i="1"/>
  <c r="F349" i="1"/>
  <c r="E349" i="1"/>
  <c r="D349" i="1"/>
  <c r="AD348" i="1"/>
  <c r="AD346" i="1" s="1"/>
  <c r="AC348" i="1"/>
  <c r="AB348" i="1"/>
  <c r="AA348" i="1"/>
  <c r="Z348" i="1"/>
  <c r="Y348" i="1"/>
  <c r="X348" i="1"/>
  <c r="W348" i="1"/>
  <c r="V348" i="1"/>
  <c r="U348" i="1"/>
  <c r="T348" i="1"/>
  <c r="S348" i="1"/>
  <c r="R348" i="1"/>
  <c r="R346" i="1" s="1"/>
  <c r="Q348" i="1"/>
  <c r="P348" i="1"/>
  <c r="O348" i="1"/>
  <c r="N348" i="1"/>
  <c r="M348" i="1"/>
  <c r="L348" i="1"/>
  <c r="K348" i="1"/>
  <c r="J348" i="1"/>
  <c r="I348" i="1"/>
  <c r="H348" i="1"/>
  <c r="G348" i="1"/>
  <c r="F348" i="1"/>
  <c r="F346" i="1" s="1"/>
  <c r="E348" i="1"/>
  <c r="D348" i="1"/>
  <c r="AD347" i="1"/>
  <c r="AC347" i="1"/>
  <c r="AC346" i="1" s="1"/>
  <c r="AB347" i="1"/>
  <c r="AA347" i="1"/>
  <c r="Z347" i="1"/>
  <c r="Y347" i="1"/>
  <c r="Y346" i="1" s="1"/>
  <c r="X347" i="1"/>
  <c r="W347" i="1"/>
  <c r="V347" i="1"/>
  <c r="U347" i="1"/>
  <c r="U346" i="1" s="1"/>
  <c r="T347" i="1"/>
  <c r="S347" i="1"/>
  <c r="S346" i="1" s="1"/>
  <c r="R347" i="1"/>
  <c r="Q347" i="1"/>
  <c r="Q346" i="1" s="1"/>
  <c r="P347" i="1"/>
  <c r="O347" i="1"/>
  <c r="N347" i="1"/>
  <c r="M347" i="1"/>
  <c r="M346" i="1" s="1"/>
  <c r="L347" i="1"/>
  <c r="K347" i="1"/>
  <c r="J347" i="1"/>
  <c r="I347" i="1"/>
  <c r="I346" i="1" s="1"/>
  <c r="H347" i="1"/>
  <c r="G347" i="1"/>
  <c r="G346" i="1" s="1"/>
  <c r="F347" i="1"/>
  <c r="E347" i="1"/>
  <c r="D347" i="1"/>
  <c r="AB346" i="1"/>
  <c r="X346" i="1"/>
  <c r="T346" i="1"/>
  <c r="P346" i="1"/>
  <c r="L346" i="1"/>
  <c r="H346" i="1"/>
  <c r="E346" i="1"/>
  <c r="D346" i="1"/>
  <c r="AD344" i="1"/>
  <c r="AC344" i="1"/>
  <c r="AB344" i="1"/>
  <c r="AA344" i="1"/>
  <c r="Z344" i="1"/>
  <c r="Y344" i="1"/>
  <c r="X344" i="1"/>
  <c r="W344" i="1"/>
  <c r="V344" i="1"/>
  <c r="U344" i="1"/>
  <c r="T344" i="1"/>
  <c r="S344" i="1"/>
  <c r="R344" i="1"/>
  <c r="Q344" i="1"/>
  <c r="P344" i="1"/>
  <c r="O344" i="1"/>
  <c r="N344" i="1"/>
  <c r="M344" i="1"/>
  <c r="L344" i="1"/>
  <c r="K344" i="1"/>
  <c r="J344" i="1"/>
  <c r="I344" i="1"/>
  <c r="H344" i="1"/>
  <c r="G344" i="1"/>
  <c r="F344" i="1"/>
  <c r="E344" i="1"/>
  <c r="D344" i="1"/>
  <c r="AD343" i="1"/>
  <c r="AC343" i="1"/>
  <c r="AB343" i="1"/>
  <c r="AA343" i="1"/>
  <c r="Z343" i="1"/>
  <c r="Y343" i="1"/>
  <c r="X343" i="1"/>
  <c r="W343" i="1"/>
  <c r="V343" i="1"/>
  <c r="U343" i="1"/>
  <c r="T343" i="1"/>
  <c r="S343" i="1"/>
  <c r="R343" i="1"/>
  <c r="Q343" i="1"/>
  <c r="P343" i="1"/>
  <c r="O343" i="1"/>
  <c r="N343" i="1"/>
  <c r="M343" i="1"/>
  <c r="L343" i="1"/>
  <c r="K343" i="1"/>
  <c r="J343" i="1"/>
  <c r="I343" i="1"/>
  <c r="H343" i="1"/>
  <c r="G343" i="1"/>
  <c r="F343" i="1"/>
  <c r="E343" i="1"/>
  <c r="D343" i="1"/>
  <c r="AD342" i="1"/>
  <c r="AC342" i="1"/>
  <c r="AB342" i="1"/>
  <c r="AA342" i="1"/>
  <c r="Z342" i="1"/>
  <c r="Y342" i="1"/>
  <c r="X342" i="1"/>
  <c r="W342" i="1"/>
  <c r="V342" i="1"/>
  <c r="U342" i="1"/>
  <c r="T342" i="1"/>
  <c r="S342" i="1"/>
  <c r="R342" i="1"/>
  <c r="Q342" i="1"/>
  <c r="P342" i="1"/>
  <c r="O342" i="1"/>
  <c r="N342" i="1"/>
  <c r="M342" i="1"/>
  <c r="L342" i="1"/>
  <c r="K342" i="1"/>
  <c r="J342" i="1"/>
  <c r="I342" i="1"/>
  <c r="H342" i="1"/>
  <c r="G342" i="1"/>
  <c r="F342" i="1"/>
  <c r="E342" i="1"/>
  <c r="D342" i="1"/>
  <c r="AD341" i="1"/>
  <c r="AC341" i="1"/>
  <c r="AB341" i="1"/>
  <c r="AA341" i="1"/>
  <c r="Z341" i="1"/>
  <c r="Y341" i="1"/>
  <c r="X341" i="1"/>
  <c r="W341" i="1"/>
  <c r="V341" i="1"/>
  <c r="U341" i="1"/>
  <c r="T341" i="1"/>
  <c r="S341" i="1"/>
  <c r="R341" i="1"/>
  <c r="Q341" i="1"/>
  <c r="P341" i="1"/>
  <c r="O341" i="1"/>
  <c r="N341" i="1"/>
  <c r="M341" i="1"/>
  <c r="L341" i="1"/>
  <c r="K341" i="1"/>
  <c r="J341" i="1"/>
  <c r="I341" i="1"/>
  <c r="H341" i="1"/>
  <c r="G341" i="1"/>
  <c r="F341" i="1"/>
  <c r="E341" i="1"/>
  <c r="D341" i="1"/>
  <c r="AD340" i="1"/>
  <c r="AC340" i="1"/>
  <c r="AB340" i="1"/>
  <c r="AA340" i="1"/>
  <c r="Z340" i="1"/>
  <c r="Y340" i="1"/>
  <c r="X340" i="1"/>
  <c r="W340" i="1"/>
  <c r="V340" i="1"/>
  <c r="U340" i="1"/>
  <c r="T340" i="1"/>
  <c r="S340" i="1"/>
  <c r="R340" i="1"/>
  <c r="Q340" i="1"/>
  <c r="P340" i="1"/>
  <c r="O340" i="1"/>
  <c r="N340" i="1"/>
  <c r="M340" i="1"/>
  <c r="L340" i="1"/>
  <c r="K340" i="1"/>
  <c r="J340" i="1"/>
  <c r="I340" i="1"/>
  <c r="H340" i="1"/>
  <c r="G340" i="1"/>
  <c r="F340" i="1"/>
  <c r="E340" i="1"/>
  <c r="D340" i="1"/>
  <c r="AD339" i="1"/>
  <c r="AC339" i="1"/>
  <c r="AB339" i="1"/>
  <c r="AA339" i="1"/>
  <c r="Z339" i="1"/>
  <c r="Y339" i="1"/>
  <c r="X339" i="1"/>
  <c r="W339" i="1"/>
  <c r="V339" i="1"/>
  <c r="U339" i="1"/>
  <c r="T339" i="1"/>
  <c r="S339" i="1"/>
  <c r="R339" i="1"/>
  <c r="Q339" i="1"/>
  <c r="P339" i="1"/>
  <c r="O339" i="1"/>
  <c r="N339" i="1"/>
  <c r="M339" i="1"/>
  <c r="L339" i="1"/>
  <c r="K339" i="1"/>
  <c r="J339" i="1"/>
  <c r="I339" i="1"/>
  <c r="H339" i="1"/>
  <c r="G339" i="1"/>
  <c r="F339" i="1"/>
  <c r="E339" i="1"/>
  <c r="D339" i="1"/>
  <c r="AD203" i="1"/>
  <c r="AD205" i="1" s="1"/>
  <c r="AD207" i="1" s="1"/>
  <c r="AD209" i="1" s="1"/>
  <c r="AB203" i="1"/>
  <c r="AB205" i="1" s="1"/>
  <c r="AB207" i="1" s="1"/>
  <c r="AB209" i="1" s="1"/>
  <c r="AA203" i="1"/>
  <c r="AA205" i="1" s="1"/>
  <c r="AA207" i="1" s="1"/>
  <c r="AA209" i="1" s="1"/>
  <c r="Z203" i="1"/>
  <c r="Z205" i="1" s="1"/>
  <c r="Z207" i="1" s="1"/>
  <c r="Z209" i="1" s="1"/>
  <c r="Y203" i="1"/>
  <c r="Y205" i="1" s="1"/>
  <c r="Y207" i="1" s="1"/>
  <c r="Y209" i="1" s="1"/>
  <c r="X203" i="1"/>
  <c r="X205" i="1" s="1"/>
  <c r="X207" i="1" s="1"/>
  <c r="X209" i="1" s="1"/>
  <c r="W203" i="1"/>
  <c r="W205" i="1" s="1"/>
  <c r="W207" i="1" s="1"/>
  <c r="W209" i="1" s="1"/>
  <c r="W201" i="1" s="1"/>
  <c r="V203" i="1"/>
  <c r="V205" i="1" s="1"/>
  <c r="V207" i="1" s="1"/>
  <c r="V209" i="1" s="1"/>
  <c r="V201" i="1" s="1"/>
  <c r="U203" i="1"/>
  <c r="U205" i="1" s="1"/>
  <c r="U207" i="1" s="1"/>
  <c r="U209" i="1" s="1"/>
  <c r="T203" i="1"/>
  <c r="T205" i="1" s="1"/>
  <c r="T207" i="1" s="1"/>
  <c r="T209" i="1" s="1"/>
  <c r="S203" i="1"/>
  <c r="S205" i="1" s="1"/>
  <c r="S207" i="1" s="1"/>
  <c r="S209" i="1" s="1"/>
  <c r="R203" i="1"/>
  <c r="R205" i="1" s="1"/>
  <c r="R207" i="1" s="1"/>
  <c r="R209" i="1" s="1"/>
  <c r="Q203" i="1"/>
  <c r="Q205" i="1" s="1"/>
  <c r="Q207" i="1" s="1"/>
  <c r="Q209" i="1" s="1"/>
  <c r="P203" i="1"/>
  <c r="P205" i="1" s="1"/>
  <c r="P207" i="1" s="1"/>
  <c r="P209" i="1" s="1"/>
  <c r="O203" i="1"/>
  <c r="O205" i="1" s="1"/>
  <c r="O207" i="1" s="1"/>
  <c r="O209" i="1" s="1"/>
  <c r="N203" i="1"/>
  <c r="N205" i="1" s="1"/>
  <c r="N207" i="1" s="1"/>
  <c r="N209" i="1" s="1"/>
  <c r="M203" i="1"/>
  <c r="M205" i="1" s="1"/>
  <c r="M207" i="1" s="1"/>
  <c r="M209" i="1" s="1"/>
  <c r="L203" i="1"/>
  <c r="L205" i="1" s="1"/>
  <c r="L207" i="1" s="1"/>
  <c r="L209" i="1" s="1"/>
  <c r="K203" i="1"/>
  <c r="K205" i="1" s="1"/>
  <c r="K207" i="1" s="1"/>
  <c r="K209" i="1" s="1"/>
  <c r="J203" i="1"/>
  <c r="J205" i="1" s="1"/>
  <c r="J207" i="1" s="1"/>
  <c r="J209" i="1" s="1"/>
  <c r="I203" i="1"/>
  <c r="I205" i="1" s="1"/>
  <c r="I207" i="1" s="1"/>
  <c r="I209" i="1" s="1"/>
  <c r="I201" i="1" s="1"/>
  <c r="H203" i="1"/>
  <c r="H205" i="1" s="1"/>
  <c r="H207" i="1" s="1"/>
  <c r="H209" i="1" s="1"/>
  <c r="H201" i="1" s="1"/>
  <c r="G203" i="1"/>
  <c r="G205" i="1" s="1"/>
  <c r="G207" i="1" s="1"/>
  <c r="G209" i="1" s="1"/>
  <c r="F203" i="1"/>
  <c r="F205" i="1" s="1"/>
  <c r="F207" i="1" s="1"/>
  <c r="F209" i="1" s="1"/>
  <c r="E203" i="1"/>
  <c r="E205" i="1" s="1"/>
  <c r="E207" i="1" s="1"/>
  <c r="E209" i="1" s="1"/>
  <c r="E201" i="1" s="1"/>
  <c r="D203" i="1"/>
  <c r="D205" i="1" s="1"/>
  <c r="D207" i="1" s="1"/>
  <c r="D209" i="1" s="1"/>
  <c r="AC203" i="1"/>
  <c r="AC205" i="1" s="1"/>
  <c r="AC207" i="1" s="1"/>
  <c r="AC209" i="1" s="1"/>
  <c r="AD193" i="1"/>
  <c r="AD195" i="1" s="1"/>
  <c r="AD197" i="1" s="1"/>
  <c r="AD199" i="1" s="1"/>
  <c r="AB193" i="1"/>
  <c r="AB195" i="1" s="1"/>
  <c r="AB197" i="1" s="1"/>
  <c r="AB199" i="1" s="1"/>
  <c r="AA193" i="1"/>
  <c r="AA195" i="1" s="1"/>
  <c r="AA197" i="1" s="1"/>
  <c r="AA199" i="1" s="1"/>
  <c r="Z193" i="1"/>
  <c r="Z195" i="1" s="1"/>
  <c r="Z197" i="1" s="1"/>
  <c r="Z199" i="1" s="1"/>
  <c r="Y193" i="1"/>
  <c r="Y195" i="1" s="1"/>
  <c r="Y197" i="1" s="1"/>
  <c r="Y199" i="1" s="1"/>
  <c r="Y191" i="1" s="1"/>
  <c r="X193" i="1"/>
  <c r="X195" i="1" s="1"/>
  <c r="X197" i="1" s="1"/>
  <c r="X199" i="1" s="1"/>
  <c r="W193" i="1"/>
  <c r="W195" i="1" s="1"/>
  <c r="W197" i="1" s="1"/>
  <c r="W199" i="1" s="1"/>
  <c r="V193" i="1"/>
  <c r="V195" i="1" s="1"/>
  <c r="V197" i="1" s="1"/>
  <c r="V199" i="1" s="1"/>
  <c r="U193" i="1"/>
  <c r="U195" i="1" s="1"/>
  <c r="U197" i="1" s="1"/>
  <c r="U199" i="1" s="1"/>
  <c r="T193" i="1"/>
  <c r="T195" i="1" s="1"/>
  <c r="T197" i="1" s="1"/>
  <c r="T199" i="1" s="1"/>
  <c r="S193" i="1"/>
  <c r="S195" i="1" s="1"/>
  <c r="S197" i="1" s="1"/>
  <c r="S199" i="1" s="1"/>
  <c r="R193" i="1"/>
  <c r="R195" i="1" s="1"/>
  <c r="R197" i="1" s="1"/>
  <c r="R199" i="1" s="1"/>
  <c r="Q193" i="1"/>
  <c r="Q195" i="1" s="1"/>
  <c r="Q197" i="1" s="1"/>
  <c r="Q199" i="1" s="1"/>
  <c r="P193" i="1"/>
  <c r="P195" i="1" s="1"/>
  <c r="P197" i="1" s="1"/>
  <c r="P199" i="1" s="1"/>
  <c r="P191" i="1" s="1"/>
  <c r="O193" i="1"/>
  <c r="O195" i="1" s="1"/>
  <c r="O197" i="1" s="1"/>
  <c r="O199" i="1" s="1"/>
  <c r="N193" i="1"/>
  <c r="N195" i="1" s="1"/>
  <c r="N197" i="1" s="1"/>
  <c r="N199" i="1" s="1"/>
  <c r="M193" i="1"/>
  <c r="M195" i="1" s="1"/>
  <c r="M197" i="1" s="1"/>
  <c r="M199" i="1" s="1"/>
  <c r="M191" i="1" s="1"/>
  <c r="L193" i="1"/>
  <c r="L195" i="1" s="1"/>
  <c r="L197" i="1" s="1"/>
  <c r="L199" i="1" s="1"/>
  <c r="K193" i="1"/>
  <c r="K195" i="1" s="1"/>
  <c r="K197" i="1" s="1"/>
  <c r="K199" i="1" s="1"/>
  <c r="J193" i="1"/>
  <c r="J195" i="1" s="1"/>
  <c r="J197" i="1" s="1"/>
  <c r="J199" i="1" s="1"/>
  <c r="I193" i="1"/>
  <c r="I195" i="1" s="1"/>
  <c r="I197" i="1" s="1"/>
  <c r="I199" i="1" s="1"/>
  <c r="H193" i="1"/>
  <c r="H195" i="1" s="1"/>
  <c r="H197" i="1" s="1"/>
  <c r="H199" i="1" s="1"/>
  <c r="G193" i="1"/>
  <c r="G195" i="1" s="1"/>
  <c r="G197" i="1" s="1"/>
  <c r="G199" i="1" s="1"/>
  <c r="F193" i="1"/>
  <c r="F195" i="1" s="1"/>
  <c r="F197" i="1" s="1"/>
  <c r="F199" i="1" s="1"/>
  <c r="E193" i="1"/>
  <c r="E195" i="1" s="1"/>
  <c r="E197" i="1" s="1"/>
  <c r="E199" i="1" s="1"/>
  <c r="D193" i="1"/>
  <c r="D195" i="1" s="1"/>
  <c r="D197" i="1" s="1"/>
  <c r="D199" i="1" s="1"/>
  <c r="AC193" i="1"/>
  <c r="AC195" i="1" s="1"/>
  <c r="AC197" i="1" s="1"/>
  <c r="AC199" i="1" s="1"/>
  <c r="AD183" i="1"/>
  <c r="AD185" i="1" s="1"/>
  <c r="AD187" i="1" s="1"/>
  <c r="AD189" i="1" s="1"/>
  <c r="AB183" i="1"/>
  <c r="AB185" i="1" s="1"/>
  <c r="AB187" i="1" s="1"/>
  <c r="AB189" i="1" s="1"/>
  <c r="AA183" i="1"/>
  <c r="AA185" i="1" s="1"/>
  <c r="AA187" i="1" s="1"/>
  <c r="AA189" i="1" s="1"/>
  <c r="Z183" i="1"/>
  <c r="Z185" i="1" s="1"/>
  <c r="Z187" i="1" s="1"/>
  <c r="Z189" i="1" s="1"/>
  <c r="Y183" i="1"/>
  <c r="Y185" i="1" s="1"/>
  <c r="Y187" i="1" s="1"/>
  <c r="Y189" i="1" s="1"/>
  <c r="X183" i="1"/>
  <c r="X185" i="1" s="1"/>
  <c r="X187" i="1" s="1"/>
  <c r="X189" i="1" s="1"/>
  <c r="W183" i="1"/>
  <c r="W185" i="1" s="1"/>
  <c r="W187" i="1" s="1"/>
  <c r="W189" i="1" s="1"/>
  <c r="V183" i="1"/>
  <c r="V185" i="1" s="1"/>
  <c r="V187" i="1" s="1"/>
  <c r="V189" i="1" s="1"/>
  <c r="U183" i="1"/>
  <c r="U185" i="1" s="1"/>
  <c r="U187" i="1" s="1"/>
  <c r="U189" i="1" s="1"/>
  <c r="U181" i="1" s="1"/>
  <c r="T183" i="1"/>
  <c r="T185" i="1" s="1"/>
  <c r="T187" i="1" s="1"/>
  <c r="T189" i="1" s="1"/>
  <c r="S183" i="1"/>
  <c r="S185" i="1" s="1"/>
  <c r="S187" i="1" s="1"/>
  <c r="S189" i="1" s="1"/>
  <c r="R183" i="1"/>
  <c r="R185" i="1" s="1"/>
  <c r="R187" i="1" s="1"/>
  <c r="R189" i="1" s="1"/>
  <c r="Q183" i="1"/>
  <c r="Q185" i="1" s="1"/>
  <c r="Q187" i="1" s="1"/>
  <c r="Q189" i="1" s="1"/>
  <c r="P183" i="1"/>
  <c r="P185" i="1" s="1"/>
  <c r="P187" i="1" s="1"/>
  <c r="P189" i="1" s="1"/>
  <c r="P181" i="1" s="1"/>
  <c r="O183" i="1"/>
  <c r="O185" i="1" s="1"/>
  <c r="O187" i="1" s="1"/>
  <c r="O189" i="1" s="1"/>
  <c r="N183" i="1"/>
  <c r="N185" i="1" s="1"/>
  <c r="N187" i="1" s="1"/>
  <c r="N189" i="1" s="1"/>
  <c r="M183" i="1"/>
  <c r="M185" i="1" s="1"/>
  <c r="M187" i="1" s="1"/>
  <c r="M189" i="1" s="1"/>
  <c r="L183" i="1"/>
  <c r="L185" i="1" s="1"/>
  <c r="L187" i="1" s="1"/>
  <c r="L189" i="1" s="1"/>
  <c r="K183" i="1"/>
  <c r="K185" i="1" s="1"/>
  <c r="K187" i="1" s="1"/>
  <c r="K189" i="1" s="1"/>
  <c r="J183" i="1"/>
  <c r="J185" i="1" s="1"/>
  <c r="J187" i="1" s="1"/>
  <c r="J189" i="1" s="1"/>
  <c r="I183" i="1"/>
  <c r="I185" i="1" s="1"/>
  <c r="I187" i="1" s="1"/>
  <c r="I189" i="1" s="1"/>
  <c r="H183" i="1"/>
  <c r="H185" i="1" s="1"/>
  <c r="H187" i="1" s="1"/>
  <c r="H189" i="1" s="1"/>
  <c r="H181" i="1" s="1"/>
  <c r="G183" i="1"/>
  <c r="G185" i="1" s="1"/>
  <c r="G187" i="1" s="1"/>
  <c r="G189" i="1" s="1"/>
  <c r="G181" i="1" s="1"/>
  <c r="F183" i="1"/>
  <c r="F185" i="1" s="1"/>
  <c r="F187" i="1" s="1"/>
  <c r="F189" i="1" s="1"/>
  <c r="E183" i="1"/>
  <c r="E185" i="1" s="1"/>
  <c r="E187" i="1" s="1"/>
  <c r="E189" i="1" s="1"/>
  <c r="D183" i="1"/>
  <c r="D185" i="1" s="1"/>
  <c r="D187" i="1" s="1"/>
  <c r="D189" i="1" s="1"/>
  <c r="AC183" i="1"/>
  <c r="AC185" i="1" s="1"/>
  <c r="AC187" i="1" s="1"/>
  <c r="AC189" i="1" s="1"/>
  <c r="AD173" i="1"/>
  <c r="AD175" i="1" s="1"/>
  <c r="AD177" i="1" s="1"/>
  <c r="AD179" i="1" s="1"/>
  <c r="AB173" i="1"/>
  <c r="AB175" i="1" s="1"/>
  <c r="AB177" i="1" s="1"/>
  <c r="AB179" i="1" s="1"/>
  <c r="AA173" i="1"/>
  <c r="AA175" i="1" s="1"/>
  <c r="AA177" i="1" s="1"/>
  <c r="AA179" i="1" s="1"/>
  <c r="Z173" i="1"/>
  <c r="Z175" i="1" s="1"/>
  <c r="Z177" i="1" s="1"/>
  <c r="Z179" i="1" s="1"/>
  <c r="Z171" i="1" s="1"/>
  <c r="Y173" i="1"/>
  <c r="Y175" i="1" s="1"/>
  <c r="Y177" i="1" s="1"/>
  <c r="Y179" i="1" s="1"/>
  <c r="X173" i="1"/>
  <c r="X175" i="1" s="1"/>
  <c r="X177" i="1" s="1"/>
  <c r="X179" i="1" s="1"/>
  <c r="W173" i="1"/>
  <c r="W175" i="1" s="1"/>
  <c r="W177" i="1" s="1"/>
  <c r="W179" i="1" s="1"/>
  <c r="V173" i="1"/>
  <c r="V175" i="1" s="1"/>
  <c r="V177" i="1" s="1"/>
  <c r="V179" i="1" s="1"/>
  <c r="U173" i="1"/>
  <c r="U175" i="1" s="1"/>
  <c r="U177" i="1" s="1"/>
  <c r="U179" i="1" s="1"/>
  <c r="T173" i="1"/>
  <c r="T175" i="1" s="1"/>
  <c r="T177" i="1" s="1"/>
  <c r="T179" i="1" s="1"/>
  <c r="S173" i="1"/>
  <c r="S175" i="1" s="1"/>
  <c r="S177" i="1" s="1"/>
  <c r="S179" i="1" s="1"/>
  <c r="R173" i="1"/>
  <c r="R175" i="1" s="1"/>
  <c r="R177" i="1" s="1"/>
  <c r="R179" i="1" s="1"/>
  <c r="Q173" i="1"/>
  <c r="Q175" i="1" s="1"/>
  <c r="Q177" i="1" s="1"/>
  <c r="Q179" i="1" s="1"/>
  <c r="Q171" i="1" s="1"/>
  <c r="P173" i="1"/>
  <c r="P175" i="1" s="1"/>
  <c r="P177" i="1" s="1"/>
  <c r="P179" i="1" s="1"/>
  <c r="O173" i="1"/>
  <c r="O175" i="1" s="1"/>
  <c r="O177" i="1" s="1"/>
  <c r="O179" i="1" s="1"/>
  <c r="N173" i="1"/>
  <c r="N175" i="1" s="1"/>
  <c r="N177" i="1" s="1"/>
  <c r="N179" i="1" s="1"/>
  <c r="M173" i="1"/>
  <c r="M175" i="1" s="1"/>
  <c r="M177" i="1" s="1"/>
  <c r="M179" i="1" s="1"/>
  <c r="M171" i="1" s="1"/>
  <c r="L173" i="1"/>
  <c r="L175" i="1" s="1"/>
  <c r="L177" i="1" s="1"/>
  <c r="L179" i="1" s="1"/>
  <c r="K173" i="1"/>
  <c r="K175" i="1" s="1"/>
  <c r="K177" i="1" s="1"/>
  <c r="K179" i="1" s="1"/>
  <c r="J173" i="1"/>
  <c r="J175" i="1" s="1"/>
  <c r="J177" i="1" s="1"/>
  <c r="J179" i="1" s="1"/>
  <c r="I173" i="1"/>
  <c r="I175" i="1" s="1"/>
  <c r="I177" i="1" s="1"/>
  <c r="I179" i="1" s="1"/>
  <c r="H173" i="1"/>
  <c r="H175" i="1" s="1"/>
  <c r="H177" i="1" s="1"/>
  <c r="H179" i="1" s="1"/>
  <c r="G173" i="1"/>
  <c r="G175" i="1" s="1"/>
  <c r="G177" i="1" s="1"/>
  <c r="G179" i="1" s="1"/>
  <c r="F173" i="1"/>
  <c r="F175" i="1" s="1"/>
  <c r="F177" i="1" s="1"/>
  <c r="F179" i="1" s="1"/>
  <c r="E173" i="1"/>
  <c r="E175" i="1" s="1"/>
  <c r="E177" i="1" s="1"/>
  <c r="E179" i="1" s="1"/>
  <c r="D173" i="1"/>
  <c r="D175" i="1" s="1"/>
  <c r="D177" i="1" s="1"/>
  <c r="D179" i="1" s="1"/>
  <c r="AC173" i="1"/>
  <c r="AC175" i="1" s="1"/>
  <c r="AC177" i="1" s="1"/>
  <c r="AC179" i="1" s="1"/>
  <c r="AD163" i="1"/>
  <c r="AD165" i="1" s="1"/>
  <c r="AD167" i="1" s="1"/>
  <c r="AD169" i="1" s="1"/>
  <c r="AB163" i="1"/>
  <c r="AB165" i="1" s="1"/>
  <c r="AB167" i="1" s="1"/>
  <c r="AB169" i="1" s="1"/>
  <c r="AA163" i="1"/>
  <c r="AA165" i="1" s="1"/>
  <c r="AA167" i="1" s="1"/>
  <c r="AA169" i="1" s="1"/>
  <c r="Z163" i="1"/>
  <c r="Z165" i="1" s="1"/>
  <c r="Z167" i="1" s="1"/>
  <c r="Z169" i="1" s="1"/>
  <c r="Y163" i="1"/>
  <c r="Y165" i="1" s="1"/>
  <c r="Y167" i="1" s="1"/>
  <c r="Y169" i="1" s="1"/>
  <c r="X163" i="1"/>
  <c r="X165" i="1" s="1"/>
  <c r="X167" i="1" s="1"/>
  <c r="X169" i="1" s="1"/>
  <c r="W163" i="1"/>
  <c r="W165" i="1" s="1"/>
  <c r="W167" i="1" s="1"/>
  <c r="W169" i="1" s="1"/>
  <c r="V163" i="1"/>
  <c r="V165" i="1" s="1"/>
  <c r="V167" i="1" s="1"/>
  <c r="V169" i="1" s="1"/>
  <c r="U163" i="1"/>
  <c r="U165" i="1" s="1"/>
  <c r="U167" i="1" s="1"/>
  <c r="U169" i="1" s="1"/>
  <c r="U161" i="1" s="1"/>
  <c r="T163" i="1"/>
  <c r="T165" i="1" s="1"/>
  <c r="T167" i="1" s="1"/>
  <c r="T169" i="1" s="1"/>
  <c r="S163" i="1"/>
  <c r="S165" i="1" s="1"/>
  <c r="S167" i="1" s="1"/>
  <c r="S169" i="1" s="1"/>
  <c r="S161" i="1" s="1"/>
  <c r="R163" i="1"/>
  <c r="R165" i="1" s="1"/>
  <c r="R167" i="1" s="1"/>
  <c r="R169" i="1" s="1"/>
  <c r="Q163" i="1"/>
  <c r="Q165" i="1" s="1"/>
  <c r="Q167" i="1" s="1"/>
  <c r="Q169" i="1" s="1"/>
  <c r="P163" i="1"/>
  <c r="P165" i="1" s="1"/>
  <c r="P167" i="1" s="1"/>
  <c r="P169" i="1" s="1"/>
  <c r="O163" i="1"/>
  <c r="O165" i="1" s="1"/>
  <c r="O167" i="1" s="1"/>
  <c r="O169" i="1" s="1"/>
  <c r="N163" i="1"/>
  <c r="N165" i="1" s="1"/>
  <c r="N167" i="1" s="1"/>
  <c r="N169" i="1" s="1"/>
  <c r="M163" i="1"/>
  <c r="M165" i="1" s="1"/>
  <c r="M167" i="1" s="1"/>
  <c r="M169" i="1" s="1"/>
  <c r="L163" i="1"/>
  <c r="L165" i="1" s="1"/>
  <c r="L167" i="1" s="1"/>
  <c r="L169" i="1" s="1"/>
  <c r="K163" i="1"/>
  <c r="K165" i="1" s="1"/>
  <c r="K167" i="1" s="1"/>
  <c r="K169" i="1" s="1"/>
  <c r="J163" i="1"/>
  <c r="J165" i="1" s="1"/>
  <c r="J167" i="1" s="1"/>
  <c r="J169" i="1" s="1"/>
  <c r="I163" i="1"/>
  <c r="I165" i="1" s="1"/>
  <c r="I167" i="1" s="1"/>
  <c r="I169" i="1" s="1"/>
  <c r="H163" i="1"/>
  <c r="H165" i="1" s="1"/>
  <c r="H167" i="1" s="1"/>
  <c r="H169" i="1" s="1"/>
  <c r="G163" i="1"/>
  <c r="G165" i="1" s="1"/>
  <c r="G167" i="1" s="1"/>
  <c r="G169" i="1" s="1"/>
  <c r="F163" i="1"/>
  <c r="F165" i="1" s="1"/>
  <c r="F167" i="1" s="1"/>
  <c r="F169" i="1" s="1"/>
  <c r="E163" i="1"/>
  <c r="E165" i="1" s="1"/>
  <c r="E167" i="1" s="1"/>
  <c r="E169" i="1" s="1"/>
  <c r="D163" i="1"/>
  <c r="D165" i="1" s="1"/>
  <c r="D167" i="1" s="1"/>
  <c r="D169" i="1" s="1"/>
  <c r="AC163" i="1"/>
  <c r="AC165" i="1" s="1"/>
  <c r="AC167" i="1" s="1"/>
  <c r="AC169" i="1" s="1"/>
  <c r="AD153" i="1"/>
  <c r="AD155" i="1" s="1"/>
  <c r="AD157" i="1" s="1"/>
  <c r="AD159" i="1" s="1"/>
  <c r="AB153" i="1"/>
  <c r="AB155" i="1" s="1"/>
  <c r="AB157" i="1" s="1"/>
  <c r="AB159" i="1" s="1"/>
  <c r="AA153" i="1"/>
  <c r="AA155" i="1" s="1"/>
  <c r="AA157" i="1" s="1"/>
  <c r="AA159" i="1" s="1"/>
  <c r="Z153" i="1"/>
  <c r="Z155" i="1" s="1"/>
  <c r="Z157" i="1" s="1"/>
  <c r="Z159" i="1" s="1"/>
  <c r="Y153" i="1"/>
  <c r="Y155" i="1" s="1"/>
  <c r="Y157" i="1" s="1"/>
  <c r="Y159" i="1" s="1"/>
  <c r="X153" i="1"/>
  <c r="X155" i="1" s="1"/>
  <c r="X157" i="1" s="1"/>
  <c r="X159" i="1" s="1"/>
  <c r="W153" i="1"/>
  <c r="W155" i="1" s="1"/>
  <c r="W157" i="1" s="1"/>
  <c r="W159" i="1" s="1"/>
  <c r="V153" i="1"/>
  <c r="V155" i="1" s="1"/>
  <c r="V157" i="1" s="1"/>
  <c r="V159" i="1" s="1"/>
  <c r="V151" i="1" s="1"/>
  <c r="U153" i="1"/>
  <c r="U155" i="1" s="1"/>
  <c r="U157" i="1" s="1"/>
  <c r="U159" i="1" s="1"/>
  <c r="T153" i="1"/>
  <c r="T155" i="1" s="1"/>
  <c r="T157" i="1" s="1"/>
  <c r="T159" i="1" s="1"/>
  <c r="S153" i="1"/>
  <c r="S155" i="1" s="1"/>
  <c r="S157" i="1" s="1"/>
  <c r="S159" i="1" s="1"/>
  <c r="R153" i="1"/>
  <c r="R155" i="1" s="1"/>
  <c r="R157" i="1" s="1"/>
  <c r="R159" i="1" s="1"/>
  <c r="Q153" i="1"/>
  <c r="Q155" i="1" s="1"/>
  <c r="Q157" i="1" s="1"/>
  <c r="Q159" i="1" s="1"/>
  <c r="P153" i="1"/>
  <c r="P155" i="1" s="1"/>
  <c r="P157" i="1" s="1"/>
  <c r="P159" i="1" s="1"/>
  <c r="O153" i="1"/>
  <c r="O155" i="1" s="1"/>
  <c r="O157" i="1" s="1"/>
  <c r="O159" i="1" s="1"/>
  <c r="N153" i="1"/>
  <c r="N155" i="1" s="1"/>
  <c r="N157" i="1" s="1"/>
  <c r="N159" i="1" s="1"/>
  <c r="M153" i="1"/>
  <c r="M155" i="1" s="1"/>
  <c r="M157" i="1" s="1"/>
  <c r="M159" i="1" s="1"/>
  <c r="L153" i="1"/>
  <c r="L155" i="1" s="1"/>
  <c r="L157" i="1" s="1"/>
  <c r="L159" i="1" s="1"/>
  <c r="K153" i="1"/>
  <c r="K155" i="1" s="1"/>
  <c r="K157" i="1" s="1"/>
  <c r="K159" i="1" s="1"/>
  <c r="J153" i="1"/>
  <c r="J155" i="1" s="1"/>
  <c r="J157" i="1" s="1"/>
  <c r="J159" i="1" s="1"/>
  <c r="I153" i="1"/>
  <c r="I155" i="1" s="1"/>
  <c r="I157" i="1" s="1"/>
  <c r="I159" i="1" s="1"/>
  <c r="H153" i="1"/>
  <c r="H155" i="1" s="1"/>
  <c r="H157" i="1" s="1"/>
  <c r="H159" i="1" s="1"/>
  <c r="G153" i="1"/>
  <c r="G155" i="1" s="1"/>
  <c r="G157" i="1" s="1"/>
  <c r="G159" i="1" s="1"/>
  <c r="G151" i="1" s="1"/>
  <c r="F153" i="1"/>
  <c r="F155" i="1" s="1"/>
  <c r="F157" i="1" s="1"/>
  <c r="F159" i="1" s="1"/>
  <c r="E153" i="1"/>
  <c r="E155" i="1" s="1"/>
  <c r="E157" i="1" s="1"/>
  <c r="E159" i="1" s="1"/>
  <c r="D153" i="1"/>
  <c r="D155" i="1" s="1"/>
  <c r="D157" i="1" s="1"/>
  <c r="D159" i="1" s="1"/>
  <c r="AC153" i="1"/>
  <c r="AC155" i="1" s="1"/>
  <c r="AC157" i="1" s="1"/>
  <c r="AC159" i="1" s="1"/>
  <c r="AD142" i="1"/>
  <c r="AD144" i="1" s="1"/>
  <c r="AD146" i="1" s="1"/>
  <c r="AD148" i="1" s="1"/>
  <c r="AB142" i="1"/>
  <c r="AB144" i="1" s="1"/>
  <c r="AB146" i="1" s="1"/>
  <c r="AB148" i="1" s="1"/>
  <c r="AA142" i="1"/>
  <c r="AA144" i="1" s="1"/>
  <c r="AA146" i="1" s="1"/>
  <c r="AA148" i="1" s="1"/>
  <c r="Z142" i="1"/>
  <c r="Z144" i="1" s="1"/>
  <c r="Z146" i="1" s="1"/>
  <c r="Z148" i="1" s="1"/>
  <c r="Y142" i="1"/>
  <c r="Y144" i="1" s="1"/>
  <c r="Y146" i="1" s="1"/>
  <c r="Y148" i="1" s="1"/>
  <c r="X142" i="1"/>
  <c r="X144" i="1" s="1"/>
  <c r="X146" i="1" s="1"/>
  <c r="X148" i="1" s="1"/>
  <c r="W142" i="1"/>
  <c r="W144" i="1" s="1"/>
  <c r="W146" i="1" s="1"/>
  <c r="W148" i="1" s="1"/>
  <c r="V142" i="1"/>
  <c r="V144" i="1" s="1"/>
  <c r="V146" i="1" s="1"/>
  <c r="V148" i="1" s="1"/>
  <c r="U142" i="1"/>
  <c r="U144" i="1" s="1"/>
  <c r="U146" i="1" s="1"/>
  <c r="U148" i="1" s="1"/>
  <c r="T142" i="1"/>
  <c r="T144" i="1" s="1"/>
  <c r="T146" i="1" s="1"/>
  <c r="T148" i="1" s="1"/>
  <c r="S142" i="1"/>
  <c r="S144" i="1" s="1"/>
  <c r="S146" i="1" s="1"/>
  <c r="S148" i="1" s="1"/>
  <c r="R142" i="1"/>
  <c r="R144" i="1" s="1"/>
  <c r="R146" i="1" s="1"/>
  <c r="R148" i="1" s="1"/>
  <c r="R140" i="1" s="1"/>
  <c r="R282" i="1" s="1"/>
  <c r="Q142" i="1"/>
  <c r="Q144" i="1" s="1"/>
  <c r="Q146" i="1" s="1"/>
  <c r="Q148" i="1" s="1"/>
  <c r="P142" i="1"/>
  <c r="P144" i="1" s="1"/>
  <c r="P146" i="1" s="1"/>
  <c r="P148" i="1" s="1"/>
  <c r="P140" i="1" s="1"/>
  <c r="P282" i="1" s="1"/>
  <c r="O142" i="1"/>
  <c r="O144" i="1" s="1"/>
  <c r="O146" i="1" s="1"/>
  <c r="O148" i="1" s="1"/>
  <c r="N142" i="1"/>
  <c r="N144" i="1" s="1"/>
  <c r="N146" i="1" s="1"/>
  <c r="N148" i="1" s="1"/>
  <c r="M142" i="1"/>
  <c r="M144" i="1" s="1"/>
  <c r="M146" i="1" s="1"/>
  <c r="M148" i="1" s="1"/>
  <c r="L142" i="1"/>
  <c r="L144" i="1" s="1"/>
  <c r="L146" i="1" s="1"/>
  <c r="L148" i="1" s="1"/>
  <c r="K142" i="1"/>
  <c r="K144" i="1" s="1"/>
  <c r="K146" i="1" s="1"/>
  <c r="K148" i="1" s="1"/>
  <c r="J142" i="1"/>
  <c r="J144" i="1" s="1"/>
  <c r="J146" i="1" s="1"/>
  <c r="J148" i="1" s="1"/>
  <c r="I142" i="1"/>
  <c r="I144" i="1" s="1"/>
  <c r="I146" i="1" s="1"/>
  <c r="I148" i="1" s="1"/>
  <c r="H142" i="1"/>
  <c r="H144" i="1" s="1"/>
  <c r="H146" i="1" s="1"/>
  <c r="H148" i="1" s="1"/>
  <c r="G142" i="1"/>
  <c r="G144" i="1" s="1"/>
  <c r="G146" i="1" s="1"/>
  <c r="G148" i="1" s="1"/>
  <c r="F142" i="1"/>
  <c r="F144" i="1" s="1"/>
  <c r="F146" i="1" s="1"/>
  <c r="F148" i="1" s="1"/>
  <c r="F140" i="1" s="1"/>
  <c r="F282" i="1" s="1"/>
  <c r="E142" i="1"/>
  <c r="E144" i="1" s="1"/>
  <c r="E146" i="1" s="1"/>
  <c r="E148" i="1" s="1"/>
  <c r="D142" i="1"/>
  <c r="D144" i="1" s="1"/>
  <c r="D146" i="1" s="1"/>
  <c r="D148" i="1" s="1"/>
  <c r="D140" i="1" s="1"/>
  <c r="D282" i="1" s="1"/>
  <c r="AC142" i="1"/>
  <c r="AC144" i="1" s="1"/>
  <c r="AC146" i="1" s="1"/>
  <c r="AC148" i="1" s="1"/>
  <c r="AD132" i="1"/>
  <c r="AD134" i="1" s="1"/>
  <c r="AD136" i="1" s="1"/>
  <c r="AD138" i="1" s="1"/>
  <c r="AB132" i="1"/>
  <c r="AB134" i="1" s="1"/>
  <c r="AB136" i="1" s="1"/>
  <c r="AB138" i="1" s="1"/>
  <c r="AA132" i="1"/>
  <c r="AA134" i="1" s="1"/>
  <c r="AA136" i="1" s="1"/>
  <c r="AA138" i="1" s="1"/>
  <c r="Z132" i="1"/>
  <c r="Z134" i="1" s="1"/>
  <c r="Z136" i="1" s="1"/>
  <c r="Z138" i="1" s="1"/>
  <c r="Y132" i="1"/>
  <c r="Y134" i="1" s="1"/>
  <c r="Y136" i="1" s="1"/>
  <c r="Y138" i="1" s="1"/>
  <c r="X132" i="1"/>
  <c r="X134" i="1" s="1"/>
  <c r="X136" i="1" s="1"/>
  <c r="X138" i="1" s="1"/>
  <c r="W132" i="1"/>
  <c r="W134" i="1" s="1"/>
  <c r="W136" i="1" s="1"/>
  <c r="W138" i="1" s="1"/>
  <c r="V132" i="1"/>
  <c r="V134" i="1" s="1"/>
  <c r="V136" i="1" s="1"/>
  <c r="V138" i="1" s="1"/>
  <c r="U132" i="1"/>
  <c r="U134" i="1" s="1"/>
  <c r="U136" i="1" s="1"/>
  <c r="U138" i="1" s="1"/>
  <c r="T132" i="1"/>
  <c r="T134" i="1" s="1"/>
  <c r="T136" i="1" s="1"/>
  <c r="T138" i="1" s="1"/>
  <c r="S132" i="1"/>
  <c r="S134" i="1" s="1"/>
  <c r="S136" i="1" s="1"/>
  <c r="S138" i="1" s="1"/>
  <c r="R132" i="1"/>
  <c r="R134" i="1" s="1"/>
  <c r="R136" i="1" s="1"/>
  <c r="R138" i="1" s="1"/>
  <c r="Q132" i="1"/>
  <c r="Q134" i="1" s="1"/>
  <c r="Q136" i="1" s="1"/>
  <c r="Q138" i="1" s="1"/>
  <c r="P132" i="1"/>
  <c r="P134" i="1" s="1"/>
  <c r="P136" i="1" s="1"/>
  <c r="P138" i="1" s="1"/>
  <c r="O132" i="1"/>
  <c r="O134" i="1" s="1"/>
  <c r="O136" i="1" s="1"/>
  <c r="O138" i="1" s="1"/>
  <c r="N132" i="1"/>
  <c r="N134" i="1" s="1"/>
  <c r="N136" i="1" s="1"/>
  <c r="N138" i="1" s="1"/>
  <c r="M132" i="1"/>
  <c r="M134" i="1" s="1"/>
  <c r="M136" i="1" s="1"/>
  <c r="M138" i="1" s="1"/>
  <c r="L132" i="1"/>
  <c r="L134" i="1" s="1"/>
  <c r="L136" i="1" s="1"/>
  <c r="L138" i="1" s="1"/>
  <c r="K132" i="1"/>
  <c r="K134" i="1" s="1"/>
  <c r="K136" i="1" s="1"/>
  <c r="K138" i="1" s="1"/>
  <c r="J132" i="1"/>
  <c r="J134" i="1" s="1"/>
  <c r="J136" i="1" s="1"/>
  <c r="J138" i="1" s="1"/>
  <c r="J130" i="1" s="1"/>
  <c r="I132" i="1"/>
  <c r="I134" i="1" s="1"/>
  <c r="I136" i="1" s="1"/>
  <c r="I138" i="1" s="1"/>
  <c r="H132" i="1"/>
  <c r="H134" i="1" s="1"/>
  <c r="H136" i="1" s="1"/>
  <c r="H138" i="1" s="1"/>
  <c r="G132" i="1"/>
  <c r="G134" i="1" s="1"/>
  <c r="G136" i="1" s="1"/>
  <c r="G138" i="1" s="1"/>
  <c r="F132" i="1"/>
  <c r="F134" i="1" s="1"/>
  <c r="F136" i="1" s="1"/>
  <c r="F138" i="1" s="1"/>
  <c r="E132" i="1"/>
  <c r="E134" i="1" s="1"/>
  <c r="E136" i="1" s="1"/>
  <c r="E138" i="1" s="1"/>
  <c r="D132" i="1"/>
  <c r="D134" i="1" s="1"/>
  <c r="D136" i="1" s="1"/>
  <c r="D138" i="1" s="1"/>
  <c r="AC132" i="1"/>
  <c r="AC134" i="1" s="1"/>
  <c r="AC136" i="1" s="1"/>
  <c r="AC138" i="1" s="1"/>
  <c r="AD122" i="1"/>
  <c r="AD124" i="1" s="1"/>
  <c r="AD126" i="1" s="1"/>
  <c r="AD128" i="1" s="1"/>
  <c r="AB122" i="1"/>
  <c r="AB124" i="1" s="1"/>
  <c r="AB126" i="1" s="1"/>
  <c r="AB128" i="1" s="1"/>
  <c r="AA122" i="1"/>
  <c r="AA124" i="1" s="1"/>
  <c r="AA126" i="1" s="1"/>
  <c r="AA128" i="1" s="1"/>
  <c r="Z122" i="1"/>
  <c r="Z124" i="1" s="1"/>
  <c r="Z126" i="1" s="1"/>
  <c r="Z128" i="1" s="1"/>
  <c r="Z120" i="1" s="1"/>
  <c r="Y122" i="1"/>
  <c r="Y124" i="1" s="1"/>
  <c r="Y126" i="1" s="1"/>
  <c r="Y128" i="1" s="1"/>
  <c r="X122" i="1"/>
  <c r="X124" i="1" s="1"/>
  <c r="X126" i="1" s="1"/>
  <c r="X128" i="1" s="1"/>
  <c r="W122" i="1"/>
  <c r="W124" i="1" s="1"/>
  <c r="W126" i="1" s="1"/>
  <c r="W128" i="1" s="1"/>
  <c r="V122" i="1"/>
  <c r="V124" i="1" s="1"/>
  <c r="V126" i="1" s="1"/>
  <c r="V128" i="1" s="1"/>
  <c r="U122" i="1"/>
  <c r="U124" i="1" s="1"/>
  <c r="U126" i="1" s="1"/>
  <c r="U128" i="1" s="1"/>
  <c r="T122" i="1"/>
  <c r="T124" i="1" s="1"/>
  <c r="T126" i="1" s="1"/>
  <c r="T128" i="1" s="1"/>
  <c r="S122" i="1"/>
  <c r="S124" i="1" s="1"/>
  <c r="S126" i="1" s="1"/>
  <c r="S128" i="1" s="1"/>
  <c r="R122" i="1"/>
  <c r="R124" i="1" s="1"/>
  <c r="R126" i="1" s="1"/>
  <c r="R128" i="1" s="1"/>
  <c r="Q122" i="1"/>
  <c r="Q124" i="1" s="1"/>
  <c r="Q126" i="1" s="1"/>
  <c r="Q128" i="1" s="1"/>
  <c r="P122" i="1"/>
  <c r="P124" i="1" s="1"/>
  <c r="P126" i="1" s="1"/>
  <c r="P128" i="1" s="1"/>
  <c r="O122" i="1"/>
  <c r="O124" i="1" s="1"/>
  <c r="O126" i="1" s="1"/>
  <c r="O128" i="1" s="1"/>
  <c r="N122" i="1"/>
  <c r="N124" i="1" s="1"/>
  <c r="N126" i="1" s="1"/>
  <c r="N128" i="1" s="1"/>
  <c r="N120" i="1" s="1"/>
  <c r="M122" i="1"/>
  <c r="M124" i="1" s="1"/>
  <c r="M126" i="1" s="1"/>
  <c r="M128" i="1" s="1"/>
  <c r="L122" i="1"/>
  <c r="L124" i="1" s="1"/>
  <c r="L126" i="1" s="1"/>
  <c r="L128" i="1" s="1"/>
  <c r="K122" i="1"/>
  <c r="K124" i="1" s="1"/>
  <c r="K126" i="1" s="1"/>
  <c r="K128" i="1" s="1"/>
  <c r="J122" i="1"/>
  <c r="J124" i="1" s="1"/>
  <c r="J126" i="1" s="1"/>
  <c r="J128" i="1" s="1"/>
  <c r="J120" i="1" s="1"/>
  <c r="I122" i="1"/>
  <c r="I124" i="1" s="1"/>
  <c r="I126" i="1" s="1"/>
  <c r="I128" i="1" s="1"/>
  <c r="H122" i="1"/>
  <c r="H124" i="1" s="1"/>
  <c r="H126" i="1" s="1"/>
  <c r="H128" i="1" s="1"/>
  <c r="G122" i="1"/>
  <c r="G124" i="1" s="1"/>
  <c r="G126" i="1" s="1"/>
  <c r="G128" i="1" s="1"/>
  <c r="F122" i="1"/>
  <c r="F124" i="1" s="1"/>
  <c r="F126" i="1" s="1"/>
  <c r="F128" i="1" s="1"/>
  <c r="E122" i="1"/>
  <c r="E124" i="1" s="1"/>
  <c r="E126" i="1" s="1"/>
  <c r="E128" i="1" s="1"/>
  <c r="D122" i="1"/>
  <c r="D124" i="1" s="1"/>
  <c r="D126" i="1" s="1"/>
  <c r="D128" i="1" s="1"/>
  <c r="AC122" i="1"/>
  <c r="AC124" i="1" s="1"/>
  <c r="AC126" i="1" s="1"/>
  <c r="AC128" i="1" s="1"/>
  <c r="AD112" i="1"/>
  <c r="AD114" i="1" s="1"/>
  <c r="AD116" i="1" s="1"/>
  <c r="AD118" i="1" s="1"/>
  <c r="AD110" i="1" s="1"/>
  <c r="AB112" i="1"/>
  <c r="AB114" i="1" s="1"/>
  <c r="AB116" i="1" s="1"/>
  <c r="AB118" i="1" s="1"/>
  <c r="AB110" i="1" s="1"/>
  <c r="AA112" i="1"/>
  <c r="AA114" i="1" s="1"/>
  <c r="AA116" i="1" s="1"/>
  <c r="AA118" i="1" s="1"/>
  <c r="Z112" i="1"/>
  <c r="Z114" i="1" s="1"/>
  <c r="Z116" i="1" s="1"/>
  <c r="Z118" i="1" s="1"/>
  <c r="Z110" i="1" s="1"/>
  <c r="Y112" i="1"/>
  <c r="Y114" i="1" s="1"/>
  <c r="Y116" i="1" s="1"/>
  <c r="Y118" i="1" s="1"/>
  <c r="X112" i="1"/>
  <c r="X114" i="1" s="1"/>
  <c r="X116" i="1" s="1"/>
  <c r="X118" i="1" s="1"/>
  <c r="W112" i="1"/>
  <c r="W114" i="1" s="1"/>
  <c r="W116" i="1" s="1"/>
  <c r="W118" i="1" s="1"/>
  <c r="V112" i="1"/>
  <c r="V114" i="1" s="1"/>
  <c r="V116" i="1" s="1"/>
  <c r="V118" i="1" s="1"/>
  <c r="U112" i="1"/>
  <c r="U114" i="1" s="1"/>
  <c r="U116" i="1" s="1"/>
  <c r="U118" i="1" s="1"/>
  <c r="T112" i="1"/>
  <c r="T114" i="1" s="1"/>
  <c r="T116" i="1" s="1"/>
  <c r="T118" i="1" s="1"/>
  <c r="S112" i="1"/>
  <c r="S114" i="1" s="1"/>
  <c r="S116" i="1" s="1"/>
  <c r="S118" i="1" s="1"/>
  <c r="R112" i="1"/>
  <c r="R114" i="1" s="1"/>
  <c r="R116" i="1" s="1"/>
  <c r="R118" i="1" s="1"/>
  <c r="Q112" i="1"/>
  <c r="Q114" i="1" s="1"/>
  <c r="Q116" i="1" s="1"/>
  <c r="Q118" i="1" s="1"/>
  <c r="P112" i="1"/>
  <c r="P114" i="1" s="1"/>
  <c r="P116" i="1" s="1"/>
  <c r="P118" i="1" s="1"/>
  <c r="O112" i="1"/>
  <c r="O114" i="1" s="1"/>
  <c r="O116" i="1" s="1"/>
  <c r="O118" i="1" s="1"/>
  <c r="N112" i="1"/>
  <c r="N114" i="1" s="1"/>
  <c r="N116" i="1" s="1"/>
  <c r="N118" i="1" s="1"/>
  <c r="M112" i="1"/>
  <c r="M114" i="1" s="1"/>
  <c r="M116" i="1" s="1"/>
  <c r="M118" i="1" s="1"/>
  <c r="L112" i="1"/>
  <c r="L114" i="1" s="1"/>
  <c r="L116" i="1" s="1"/>
  <c r="L118" i="1" s="1"/>
  <c r="K112" i="1"/>
  <c r="K114" i="1" s="1"/>
  <c r="K116" i="1" s="1"/>
  <c r="K118" i="1" s="1"/>
  <c r="J112" i="1"/>
  <c r="J114" i="1" s="1"/>
  <c r="J116" i="1" s="1"/>
  <c r="J118" i="1" s="1"/>
  <c r="I112" i="1"/>
  <c r="I114" i="1" s="1"/>
  <c r="I116" i="1" s="1"/>
  <c r="I118" i="1" s="1"/>
  <c r="H112" i="1"/>
  <c r="H114" i="1" s="1"/>
  <c r="H116" i="1" s="1"/>
  <c r="H118" i="1" s="1"/>
  <c r="G112" i="1"/>
  <c r="G114" i="1" s="1"/>
  <c r="G116" i="1" s="1"/>
  <c r="G118" i="1" s="1"/>
  <c r="F112" i="1"/>
  <c r="F114" i="1" s="1"/>
  <c r="F116" i="1" s="1"/>
  <c r="F118" i="1" s="1"/>
  <c r="E112" i="1"/>
  <c r="E114" i="1" s="1"/>
  <c r="E116" i="1" s="1"/>
  <c r="E118" i="1" s="1"/>
  <c r="D112" i="1"/>
  <c r="D114" i="1" s="1"/>
  <c r="D116" i="1" s="1"/>
  <c r="D118" i="1" s="1"/>
  <c r="D110" i="1" s="1"/>
  <c r="AC112" i="1"/>
  <c r="AC114" i="1" s="1"/>
  <c r="AC116" i="1" s="1"/>
  <c r="AC118" i="1" s="1"/>
  <c r="AD102" i="1"/>
  <c r="AD104" i="1" s="1"/>
  <c r="AD106" i="1" s="1"/>
  <c r="AD108" i="1" s="1"/>
  <c r="AD100" i="1" s="1"/>
  <c r="AB102" i="1"/>
  <c r="AB104" i="1" s="1"/>
  <c r="AB106" i="1" s="1"/>
  <c r="AB108" i="1" s="1"/>
  <c r="AA102" i="1"/>
  <c r="AA104" i="1" s="1"/>
  <c r="AA106" i="1" s="1"/>
  <c r="AA108" i="1" s="1"/>
  <c r="Z102" i="1"/>
  <c r="Z104" i="1" s="1"/>
  <c r="Z106" i="1" s="1"/>
  <c r="Z108" i="1" s="1"/>
  <c r="Y102" i="1"/>
  <c r="Y104" i="1" s="1"/>
  <c r="Y106" i="1" s="1"/>
  <c r="Y108" i="1" s="1"/>
  <c r="X102" i="1"/>
  <c r="X104" i="1" s="1"/>
  <c r="X106" i="1" s="1"/>
  <c r="X108" i="1" s="1"/>
  <c r="W102" i="1"/>
  <c r="W104" i="1" s="1"/>
  <c r="W106" i="1" s="1"/>
  <c r="W108" i="1" s="1"/>
  <c r="V102" i="1"/>
  <c r="V104" i="1" s="1"/>
  <c r="V106" i="1" s="1"/>
  <c r="V108" i="1" s="1"/>
  <c r="U102" i="1"/>
  <c r="U104" i="1" s="1"/>
  <c r="U106" i="1" s="1"/>
  <c r="U108" i="1" s="1"/>
  <c r="T102" i="1"/>
  <c r="T104" i="1" s="1"/>
  <c r="T106" i="1" s="1"/>
  <c r="T108" i="1" s="1"/>
  <c r="T100" i="1" s="1"/>
  <c r="S102" i="1"/>
  <c r="S104" i="1" s="1"/>
  <c r="S106" i="1" s="1"/>
  <c r="S108" i="1" s="1"/>
  <c r="S100" i="1" s="1"/>
  <c r="R102" i="1"/>
  <c r="R104" i="1" s="1"/>
  <c r="R106" i="1" s="1"/>
  <c r="R108" i="1" s="1"/>
  <c r="R100" i="1" s="1"/>
  <c r="Q102" i="1"/>
  <c r="Q104" i="1" s="1"/>
  <c r="Q106" i="1" s="1"/>
  <c r="Q108" i="1" s="1"/>
  <c r="P102" i="1"/>
  <c r="P104" i="1" s="1"/>
  <c r="P106" i="1" s="1"/>
  <c r="P108" i="1" s="1"/>
  <c r="O102" i="1"/>
  <c r="O104" i="1" s="1"/>
  <c r="O106" i="1" s="1"/>
  <c r="O108" i="1" s="1"/>
  <c r="N102" i="1"/>
  <c r="N104" i="1" s="1"/>
  <c r="N106" i="1" s="1"/>
  <c r="N108" i="1" s="1"/>
  <c r="M102" i="1"/>
  <c r="M104" i="1" s="1"/>
  <c r="M106" i="1" s="1"/>
  <c r="M108" i="1" s="1"/>
  <c r="L102" i="1"/>
  <c r="L104" i="1" s="1"/>
  <c r="L106" i="1" s="1"/>
  <c r="L108" i="1" s="1"/>
  <c r="K102" i="1"/>
  <c r="K104" i="1" s="1"/>
  <c r="K106" i="1" s="1"/>
  <c r="K108" i="1" s="1"/>
  <c r="J102" i="1"/>
  <c r="J104" i="1" s="1"/>
  <c r="J106" i="1" s="1"/>
  <c r="J108" i="1" s="1"/>
  <c r="I102" i="1"/>
  <c r="I104" i="1" s="1"/>
  <c r="I106" i="1" s="1"/>
  <c r="I108" i="1" s="1"/>
  <c r="H102" i="1"/>
  <c r="H104" i="1" s="1"/>
  <c r="H106" i="1" s="1"/>
  <c r="H108" i="1" s="1"/>
  <c r="H100" i="1" s="1"/>
  <c r="G102" i="1"/>
  <c r="G104" i="1" s="1"/>
  <c r="G106" i="1" s="1"/>
  <c r="G108" i="1" s="1"/>
  <c r="F102" i="1"/>
  <c r="F104" i="1" s="1"/>
  <c r="F106" i="1" s="1"/>
  <c r="F108" i="1" s="1"/>
  <c r="F100" i="1" s="1"/>
  <c r="E102" i="1"/>
  <c r="E104" i="1" s="1"/>
  <c r="E106" i="1" s="1"/>
  <c r="E108" i="1" s="1"/>
  <c r="D102" i="1"/>
  <c r="D104" i="1" s="1"/>
  <c r="D106" i="1" s="1"/>
  <c r="D108" i="1" s="1"/>
  <c r="AC102" i="1"/>
  <c r="AC104" i="1" s="1"/>
  <c r="AC106" i="1" s="1"/>
  <c r="AC108" i="1" s="1"/>
  <c r="AD92" i="1"/>
  <c r="AD94" i="1" s="1"/>
  <c r="AD96" i="1" s="1"/>
  <c r="AD98" i="1" s="1"/>
  <c r="AB92" i="1"/>
  <c r="AB94" i="1" s="1"/>
  <c r="AB96" i="1" s="1"/>
  <c r="AB98" i="1" s="1"/>
  <c r="AA92" i="1"/>
  <c r="AA94" i="1" s="1"/>
  <c r="AA96" i="1" s="1"/>
  <c r="AA98" i="1" s="1"/>
  <c r="Z92" i="1"/>
  <c r="Z94" i="1" s="1"/>
  <c r="Z96" i="1" s="1"/>
  <c r="Z98" i="1" s="1"/>
  <c r="Y92" i="1"/>
  <c r="Y94" i="1" s="1"/>
  <c r="Y96" i="1" s="1"/>
  <c r="Y98" i="1" s="1"/>
  <c r="X92" i="1"/>
  <c r="X94" i="1" s="1"/>
  <c r="X96" i="1" s="1"/>
  <c r="X98" i="1" s="1"/>
  <c r="X90" i="1" s="1"/>
  <c r="W92" i="1"/>
  <c r="W94" i="1" s="1"/>
  <c r="W96" i="1" s="1"/>
  <c r="W98" i="1" s="1"/>
  <c r="V92" i="1"/>
  <c r="V94" i="1" s="1"/>
  <c r="V96" i="1" s="1"/>
  <c r="V98" i="1" s="1"/>
  <c r="U92" i="1"/>
  <c r="U94" i="1" s="1"/>
  <c r="U96" i="1" s="1"/>
  <c r="U98" i="1" s="1"/>
  <c r="T92" i="1"/>
  <c r="T94" i="1" s="1"/>
  <c r="T96" i="1" s="1"/>
  <c r="T98" i="1" s="1"/>
  <c r="S92" i="1"/>
  <c r="S94" i="1" s="1"/>
  <c r="S96" i="1" s="1"/>
  <c r="S98" i="1" s="1"/>
  <c r="R92" i="1"/>
  <c r="R94" i="1" s="1"/>
  <c r="R96" i="1" s="1"/>
  <c r="R98" i="1" s="1"/>
  <c r="Q92" i="1"/>
  <c r="Q94" i="1" s="1"/>
  <c r="Q96" i="1" s="1"/>
  <c r="Q98" i="1" s="1"/>
  <c r="P92" i="1"/>
  <c r="P94" i="1" s="1"/>
  <c r="P96" i="1" s="1"/>
  <c r="P98" i="1" s="1"/>
  <c r="O92" i="1"/>
  <c r="O94" i="1" s="1"/>
  <c r="O96" i="1" s="1"/>
  <c r="O98" i="1" s="1"/>
  <c r="N92" i="1"/>
  <c r="N94" i="1" s="1"/>
  <c r="N96" i="1" s="1"/>
  <c r="N98" i="1" s="1"/>
  <c r="N90" i="1" s="1"/>
  <c r="M92" i="1"/>
  <c r="M94" i="1" s="1"/>
  <c r="M96" i="1" s="1"/>
  <c r="M98" i="1" s="1"/>
  <c r="L92" i="1"/>
  <c r="L94" i="1" s="1"/>
  <c r="L96" i="1" s="1"/>
  <c r="L98" i="1" s="1"/>
  <c r="K92" i="1"/>
  <c r="K94" i="1" s="1"/>
  <c r="K96" i="1" s="1"/>
  <c r="K98" i="1" s="1"/>
  <c r="J92" i="1"/>
  <c r="J94" i="1" s="1"/>
  <c r="J96" i="1" s="1"/>
  <c r="J98" i="1" s="1"/>
  <c r="I92" i="1"/>
  <c r="I94" i="1" s="1"/>
  <c r="I96" i="1" s="1"/>
  <c r="I98" i="1" s="1"/>
  <c r="H92" i="1"/>
  <c r="H94" i="1" s="1"/>
  <c r="H96" i="1" s="1"/>
  <c r="H98" i="1" s="1"/>
  <c r="G92" i="1"/>
  <c r="G94" i="1" s="1"/>
  <c r="G96" i="1" s="1"/>
  <c r="G98" i="1" s="1"/>
  <c r="F92" i="1"/>
  <c r="F94" i="1" s="1"/>
  <c r="F96" i="1" s="1"/>
  <c r="F98" i="1" s="1"/>
  <c r="E92" i="1"/>
  <c r="E94" i="1" s="1"/>
  <c r="E96" i="1" s="1"/>
  <c r="E98" i="1" s="1"/>
  <c r="D92" i="1"/>
  <c r="D94" i="1" s="1"/>
  <c r="D96" i="1" s="1"/>
  <c r="D98" i="1" s="1"/>
  <c r="AC92" i="1"/>
  <c r="AC94" i="1" s="1"/>
  <c r="AC96" i="1" s="1"/>
  <c r="AC98" i="1" s="1"/>
  <c r="AD79" i="1"/>
  <c r="AD81" i="1" s="1"/>
  <c r="AD83" i="1" s="1"/>
  <c r="AD85" i="1" s="1"/>
  <c r="AB79" i="1"/>
  <c r="AB81" i="1" s="1"/>
  <c r="AB83" i="1" s="1"/>
  <c r="AB85" i="1" s="1"/>
  <c r="AA79" i="1"/>
  <c r="AA81" i="1" s="1"/>
  <c r="AA83" i="1" s="1"/>
  <c r="AA85" i="1" s="1"/>
  <c r="Z79" i="1"/>
  <c r="Z81" i="1" s="1"/>
  <c r="Z83" i="1" s="1"/>
  <c r="Z85" i="1" s="1"/>
  <c r="Y79" i="1"/>
  <c r="Y81" i="1" s="1"/>
  <c r="Y83" i="1" s="1"/>
  <c r="Y85" i="1" s="1"/>
  <c r="X79" i="1"/>
  <c r="X81" i="1" s="1"/>
  <c r="X83" i="1" s="1"/>
  <c r="X85" i="1" s="1"/>
  <c r="W79" i="1"/>
  <c r="W81" i="1" s="1"/>
  <c r="W83" i="1" s="1"/>
  <c r="W85" i="1" s="1"/>
  <c r="V79" i="1"/>
  <c r="V81" i="1" s="1"/>
  <c r="V83" i="1" s="1"/>
  <c r="V85" i="1" s="1"/>
  <c r="U79" i="1"/>
  <c r="U81" i="1" s="1"/>
  <c r="U83" i="1" s="1"/>
  <c r="U85" i="1" s="1"/>
  <c r="T79" i="1"/>
  <c r="T81" i="1" s="1"/>
  <c r="T83" i="1" s="1"/>
  <c r="T85" i="1" s="1"/>
  <c r="S79" i="1"/>
  <c r="S81" i="1" s="1"/>
  <c r="S83" i="1" s="1"/>
  <c r="S85" i="1" s="1"/>
  <c r="R79" i="1"/>
  <c r="R81" i="1" s="1"/>
  <c r="R83" i="1" s="1"/>
  <c r="R85" i="1" s="1"/>
  <c r="Q79" i="1"/>
  <c r="Q81" i="1" s="1"/>
  <c r="Q83" i="1" s="1"/>
  <c r="Q85" i="1" s="1"/>
  <c r="P79" i="1"/>
  <c r="P81" i="1" s="1"/>
  <c r="P83" i="1" s="1"/>
  <c r="P85" i="1" s="1"/>
  <c r="O79" i="1"/>
  <c r="O81" i="1" s="1"/>
  <c r="O83" i="1" s="1"/>
  <c r="O85" i="1" s="1"/>
  <c r="N79" i="1"/>
  <c r="N81" i="1" s="1"/>
  <c r="N83" i="1" s="1"/>
  <c r="N85" i="1" s="1"/>
  <c r="M79" i="1"/>
  <c r="M81" i="1" s="1"/>
  <c r="M83" i="1" s="1"/>
  <c r="M85" i="1" s="1"/>
  <c r="L79" i="1"/>
  <c r="L81" i="1" s="1"/>
  <c r="L83" i="1" s="1"/>
  <c r="L85" i="1" s="1"/>
  <c r="K79" i="1"/>
  <c r="K81" i="1" s="1"/>
  <c r="K83" i="1" s="1"/>
  <c r="K85" i="1" s="1"/>
  <c r="J79" i="1"/>
  <c r="J81" i="1" s="1"/>
  <c r="J83" i="1" s="1"/>
  <c r="J85" i="1" s="1"/>
  <c r="I79" i="1"/>
  <c r="I81" i="1" s="1"/>
  <c r="I83" i="1" s="1"/>
  <c r="I85" i="1" s="1"/>
  <c r="H79" i="1"/>
  <c r="H81" i="1" s="1"/>
  <c r="H83" i="1" s="1"/>
  <c r="H85" i="1" s="1"/>
  <c r="G79" i="1"/>
  <c r="G81" i="1" s="1"/>
  <c r="G83" i="1" s="1"/>
  <c r="G85" i="1" s="1"/>
  <c r="F79" i="1"/>
  <c r="F81" i="1" s="1"/>
  <c r="F83" i="1" s="1"/>
  <c r="F85" i="1" s="1"/>
  <c r="E79" i="1"/>
  <c r="E81" i="1" s="1"/>
  <c r="E83" i="1" s="1"/>
  <c r="E85" i="1" s="1"/>
  <c r="D79" i="1"/>
  <c r="D81" i="1" s="1"/>
  <c r="D83" i="1" s="1"/>
  <c r="D85" i="1" s="1"/>
  <c r="D87" i="1" s="1"/>
  <c r="D77" i="1" s="1"/>
  <c r="AC79" i="1"/>
  <c r="AC81" i="1" s="1"/>
  <c r="AC83" i="1" s="1"/>
  <c r="AC85" i="1" s="1"/>
  <c r="AD67" i="1"/>
  <c r="AD69" i="1" s="1"/>
  <c r="AD71" i="1" s="1"/>
  <c r="AD73" i="1" s="1"/>
  <c r="AB67" i="1"/>
  <c r="AB69" i="1" s="1"/>
  <c r="AB71" i="1" s="1"/>
  <c r="AB73" i="1" s="1"/>
  <c r="AA67" i="1"/>
  <c r="AA69" i="1" s="1"/>
  <c r="AA71" i="1" s="1"/>
  <c r="AA73" i="1" s="1"/>
  <c r="Z67" i="1"/>
  <c r="Z69" i="1" s="1"/>
  <c r="Z71" i="1" s="1"/>
  <c r="Z73" i="1" s="1"/>
  <c r="Y67" i="1"/>
  <c r="Y69" i="1" s="1"/>
  <c r="Y71" i="1" s="1"/>
  <c r="Y73" i="1" s="1"/>
  <c r="X67" i="1"/>
  <c r="X69" i="1" s="1"/>
  <c r="X71" i="1" s="1"/>
  <c r="X73" i="1" s="1"/>
  <c r="W67" i="1"/>
  <c r="W69" i="1" s="1"/>
  <c r="W71" i="1" s="1"/>
  <c r="W73" i="1" s="1"/>
  <c r="V67" i="1"/>
  <c r="V69" i="1" s="1"/>
  <c r="V71" i="1" s="1"/>
  <c r="V73" i="1" s="1"/>
  <c r="U67" i="1"/>
  <c r="U69" i="1" s="1"/>
  <c r="U71" i="1" s="1"/>
  <c r="U73" i="1" s="1"/>
  <c r="T67" i="1"/>
  <c r="T69" i="1" s="1"/>
  <c r="T71" i="1" s="1"/>
  <c r="T73" i="1" s="1"/>
  <c r="S67" i="1"/>
  <c r="S69" i="1" s="1"/>
  <c r="S71" i="1" s="1"/>
  <c r="S73" i="1" s="1"/>
  <c r="R67" i="1"/>
  <c r="R69" i="1" s="1"/>
  <c r="R71" i="1" s="1"/>
  <c r="R73" i="1" s="1"/>
  <c r="Q67" i="1"/>
  <c r="Q69" i="1" s="1"/>
  <c r="Q71" i="1" s="1"/>
  <c r="Q73" i="1" s="1"/>
  <c r="P67" i="1"/>
  <c r="P69" i="1" s="1"/>
  <c r="P71" i="1" s="1"/>
  <c r="P73" i="1" s="1"/>
  <c r="O67" i="1"/>
  <c r="O69" i="1" s="1"/>
  <c r="O71" i="1" s="1"/>
  <c r="O73" i="1" s="1"/>
  <c r="N67" i="1"/>
  <c r="N69" i="1" s="1"/>
  <c r="N71" i="1" s="1"/>
  <c r="N73" i="1" s="1"/>
  <c r="M67" i="1"/>
  <c r="M69" i="1" s="1"/>
  <c r="M71" i="1" s="1"/>
  <c r="M73" i="1" s="1"/>
  <c r="L67" i="1"/>
  <c r="L69" i="1" s="1"/>
  <c r="L71" i="1" s="1"/>
  <c r="L73" i="1" s="1"/>
  <c r="K67" i="1"/>
  <c r="K69" i="1" s="1"/>
  <c r="K71" i="1" s="1"/>
  <c r="K73" i="1" s="1"/>
  <c r="J67" i="1"/>
  <c r="J69" i="1" s="1"/>
  <c r="J71" i="1" s="1"/>
  <c r="J73" i="1" s="1"/>
  <c r="I67" i="1"/>
  <c r="I69" i="1" s="1"/>
  <c r="I71" i="1" s="1"/>
  <c r="I73" i="1" s="1"/>
  <c r="H67" i="1"/>
  <c r="H69" i="1" s="1"/>
  <c r="H71" i="1" s="1"/>
  <c r="H73" i="1" s="1"/>
  <c r="G67" i="1"/>
  <c r="G69" i="1" s="1"/>
  <c r="G71" i="1" s="1"/>
  <c r="G73" i="1" s="1"/>
  <c r="F67" i="1"/>
  <c r="F69" i="1" s="1"/>
  <c r="F71" i="1" s="1"/>
  <c r="F73" i="1" s="1"/>
  <c r="E67" i="1"/>
  <c r="E69" i="1" s="1"/>
  <c r="E71" i="1" s="1"/>
  <c r="E73" i="1" s="1"/>
  <c r="D67" i="1"/>
  <c r="D69" i="1" s="1"/>
  <c r="D71" i="1" s="1"/>
  <c r="D73" i="1" s="1"/>
  <c r="AC67" i="1"/>
  <c r="AC69" i="1" s="1"/>
  <c r="AC71" i="1" s="1"/>
  <c r="AC73" i="1" s="1"/>
  <c r="AD55" i="1"/>
  <c r="AD57" i="1" s="1"/>
  <c r="AD59" i="1" s="1"/>
  <c r="AD61" i="1" s="1"/>
  <c r="AB55" i="1"/>
  <c r="AB57" i="1" s="1"/>
  <c r="AB59" i="1" s="1"/>
  <c r="AB61" i="1" s="1"/>
  <c r="AA55" i="1"/>
  <c r="AA57" i="1" s="1"/>
  <c r="AA59" i="1" s="1"/>
  <c r="AA61" i="1" s="1"/>
  <c r="Z55" i="1"/>
  <c r="Z57" i="1" s="1"/>
  <c r="Z59" i="1" s="1"/>
  <c r="Z61" i="1" s="1"/>
  <c r="Y55" i="1"/>
  <c r="Y57" i="1" s="1"/>
  <c r="Y59" i="1" s="1"/>
  <c r="Y61" i="1" s="1"/>
  <c r="X55" i="1"/>
  <c r="X57" i="1" s="1"/>
  <c r="X59" i="1" s="1"/>
  <c r="X61" i="1" s="1"/>
  <c r="W55" i="1"/>
  <c r="W57" i="1" s="1"/>
  <c r="W59" i="1" s="1"/>
  <c r="W61" i="1" s="1"/>
  <c r="V55" i="1"/>
  <c r="V57" i="1" s="1"/>
  <c r="V59" i="1" s="1"/>
  <c r="V61" i="1" s="1"/>
  <c r="U55" i="1"/>
  <c r="U57" i="1" s="1"/>
  <c r="U59" i="1" s="1"/>
  <c r="U61" i="1" s="1"/>
  <c r="T55" i="1"/>
  <c r="T57" i="1" s="1"/>
  <c r="T59" i="1" s="1"/>
  <c r="T61" i="1" s="1"/>
  <c r="S55" i="1"/>
  <c r="S57" i="1" s="1"/>
  <c r="S59" i="1" s="1"/>
  <c r="S61" i="1" s="1"/>
  <c r="R55" i="1"/>
  <c r="R57" i="1" s="1"/>
  <c r="R59" i="1" s="1"/>
  <c r="R61" i="1" s="1"/>
  <c r="Q55" i="1"/>
  <c r="Q57" i="1" s="1"/>
  <c r="Q59" i="1" s="1"/>
  <c r="Q61" i="1" s="1"/>
  <c r="P55" i="1"/>
  <c r="P57" i="1" s="1"/>
  <c r="P59" i="1" s="1"/>
  <c r="P61" i="1" s="1"/>
  <c r="O55" i="1"/>
  <c r="O57" i="1" s="1"/>
  <c r="O59" i="1" s="1"/>
  <c r="O61" i="1" s="1"/>
  <c r="N55" i="1"/>
  <c r="N57" i="1" s="1"/>
  <c r="N59" i="1" s="1"/>
  <c r="N61" i="1" s="1"/>
  <c r="M55" i="1"/>
  <c r="M57" i="1" s="1"/>
  <c r="M59" i="1" s="1"/>
  <c r="M61" i="1" s="1"/>
  <c r="L55" i="1"/>
  <c r="L57" i="1" s="1"/>
  <c r="L59" i="1" s="1"/>
  <c r="L61" i="1" s="1"/>
  <c r="K55" i="1"/>
  <c r="K57" i="1" s="1"/>
  <c r="K59" i="1" s="1"/>
  <c r="K61" i="1" s="1"/>
  <c r="J55" i="1"/>
  <c r="J57" i="1" s="1"/>
  <c r="J59" i="1" s="1"/>
  <c r="J61" i="1" s="1"/>
  <c r="I55" i="1"/>
  <c r="I57" i="1" s="1"/>
  <c r="I59" i="1" s="1"/>
  <c r="I61" i="1" s="1"/>
  <c r="H55" i="1"/>
  <c r="H57" i="1" s="1"/>
  <c r="H59" i="1" s="1"/>
  <c r="H61" i="1" s="1"/>
  <c r="G55" i="1"/>
  <c r="G57" i="1" s="1"/>
  <c r="G59" i="1" s="1"/>
  <c r="G61" i="1" s="1"/>
  <c r="F55" i="1"/>
  <c r="F57" i="1" s="1"/>
  <c r="F59" i="1" s="1"/>
  <c r="F61" i="1" s="1"/>
  <c r="E55" i="1"/>
  <c r="E57" i="1" s="1"/>
  <c r="E59" i="1" s="1"/>
  <c r="E61" i="1" s="1"/>
  <c r="D55" i="1"/>
  <c r="D57" i="1" s="1"/>
  <c r="D59" i="1" s="1"/>
  <c r="D61" i="1" s="1"/>
  <c r="AC55" i="1"/>
  <c r="AC57" i="1" s="1"/>
  <c r="AC59" i="1" s="1"/>
  <c r="AC61" i="1" s="1"/>
  <c r="AD43" i="1"/>
  <c r="AD45" i="1" s="1"/>
  <c r="AD47" i="1" s="1"/>
  <c r="AD49" i="1" s="1"/>
  <c r="AB43" i="1"/>
  <c r="AB45" i="1" s="1"/>
  <c r="AB47" i="1" s="1"/>
  <c r="AB49" i="1" s="1"/>
  <c r="AA43" i="1"/>
  <c r="AA45" i="1" s="1"/>
  <c r="AA47" i="1" s="1"/>
  <c r="AA49" i="1" s="1"/>
  <c r="Z43" i="1"/>
  <c r="Z45" i="1" s="1"/>
  <c r="Z47" i="1" s="1"/>
  <c r="Z49" i="1" s="1"/>
  <c r="Y43" i="1"/>
  <c r="Y45" i="1" s="1"/>
  <c r="Y47" i="1" s="1"/>
  <c r="Y49" i="1" s="1"/>
  <c r="X43" i="1"/>
  <c r="X45" i="1" s="1"/>
  <c r="X47" i="1" s="1"/>
  <c r="X49" i="1" s="1"/>
  <c r="W43" i="1"/>
  <c r="W45" i="1" s="1"/>
  <c r="W47" i="1" s="1"/>
  <c r="W49" i="1" s="1"/>
  <c r="V43" i="1"/>
  <c r="V45" i="1" s="1"/>
  <c r="V47" i="1" s="1"/>
  <c r="V49" i="1" s="1"/>
  <c r="U43" i="1"/>
  <c r="U45" i="1" s="1"/>
  <c r="U47" i="1" s="1"/>
  <c r="U49" i="1" s="1"/>
  <c r="T43" i="1"/>
  <c r="T45" i="1" s="1"/>
  <c r="T47" i="1" s="1"/>
  <c r="T49" i="1" s="1"/>
  <c r="S43" i="1"/>
  <c r="S45" i="1" s="1"/>
  <c r="S47" i="1" s="1"/>
  <c r="S49" i="1" s="1"/>
  <c r="R43" i="1"/>
  <c r="R45" i="1" s="1"/>
  <c r="R47" i="1" s="1"/>
  <c r="R49" i="1" s="1"/>
  <c r="Q43" i="1"/>
  <c r="Q45" i="1" s="1"/>
  <c r="Q47" i="1" s="1"/>
  <c r="Q49" i="1" s="1"/>
  <c r="P43" i="1"/>
  <c r="P45" i="1" s="1"/>
  <c r="P47" i="1" s="1"/>
  <c r="P49" i="1" s="1"/>
  <c r="O43" i="1"/>
  <c r="O45" i="1" s="1"/>
  <c r="O47" i="1" s="1"/>
  <c r="O49" i="1" s="1"/>
  <c r="N43" i="1"/>
  <c r="N45" i="1" s="1"/>
  <c r="N47" i="1" s="1"/>
  <c r="N49" i="1" s="1"/>
  <c r="M43" i="1"/>
  <c r="M45" i="1" s="1"/>
  <c r="M47" i="1" s="1"/>
  <c r="M49" i="1" s="1"/>
  <c r="L43" i="1"/>
  <c r="L45" i="1" s="1"/>
  <c r="L47" i="1" s="1"/>
  <c r="L49" i="1" s="1"/>
  <c r="K43" i="1"/>
  <c r="K45" i="1" s="1"/>
  <c r="K47" i="1" s="1"/>
  <c r="K49" i="1" s="1"/>
  <c r="J43" i="1"/>
  <c r="J45" i="1" s="1"/>
  <c r="J47" i="1" s="1"/>
  <c r="J49" i="1" s="1"/>
  <c r="I43" i="1"/>
  <c r="I45" i="1" s="1"/>
  <c r="I47" i="1" s="1"/>
  <c r="I49" i="1" s="1"/>
  <c r="H43" i="1"/>
  <c r="H45" i="1" s="1"/>
  <c r="H47" i="1" s="1"/>
  <c r="H49" i="1" s="1"/>
  <c r="G43" i="1"/>
  <c r="G45" i="1" s="1"/>
  <c r="G47" i="1" s="1"/>
  <c r="G49" i="1" s="1"/>
  <c r="F43" i="1"/>
  <c r="F45" i="1" s="1"/>
  <c r="F47" i="1" s="1"/>
  <c r="F49" i="1" s="1"/>
  <c r="E43" i="1"/>
  <c r="E45" i="1" s="1"/>
  <c r="E47" i="1" s="1"/>
  <c r="E49" i="1" s="1"/>
  <c r="D43" i="1"/>
  <c r="D45" i="1" s="1"/>
  <c r="D47" i="1" s="1"/>
  <c r="D49" i="1" s="1"/>
  <c r="AC43" i="1"/>
  <c r="AC45" i="1" s="1"/>
  <c r="AC47" i="1" s="1"/>
  <c r="AC49" i="1" s="1"/>
  <c r="AD31" i="1"/>
  <c r="AD33" i="1" s="1"/>
  <c r="AD35" i="1" s="1"/>
  <c r="AD37" i="1" s="1"/>
  <c r="AB31" i="1"/>
  <c r="AB33" i="1" s="1"/>
  <c r="AB35" i="1" s="1"/>
  <c r="AB37" i="1" s="1"/>
  <c r="AA31" i="1"/>
  <c r="AA33" i="1" s="1"/>
  <c r="AA35" i="1" s="1"/>
  <c r="AA37" i="1" s="1"/>
  <c r="Z31" i="1"/>
  <c r="Z33" i="1" s="1"/>
  <c r="Z35" i="1" s="1"/>
  <c r="Z37" i="1" s="1"/>
  <c r="Y31" i="1"/>
  <c r="Y33" i="1" s="1"/>
  <c r="Y35" i="1" s="1"/>
  <c r="Y37" i="1" s="1"/>
  <c r="X31" i="1"/>
  <c r="X33" i="1" s="1"/>
  <c r="X35" i="1" s="1"/>
  <c r="X37" i="1" s="1"/>
  <c r="W31" i="1"/>
  <c r="W33" i="1" s="1"/>
  <c r="W35" i="1" s="1"/>
  <c r="W37" i="1" s="1"/>
  <c r="V31" i="1"/>
  <c r="V33" i="1" s="1"/>
  <c r="V35" i="1" s="1"/>
  <c r="V37" i="1" s="1"/>
  <c r="U31" i="1"/>
  <c r="U33" i="1" s="1"/>
  <c r="U35" i="1" s="1"/>
  <c r="U37" i="1" s="1"/>
  <c r="T31" i="1"/>
  <c r="T33" i="1" s="1"/>
  <c r="T35" i="1" s="1"/>
  <c r="T37" i="1" s="1"/>
  <c r="S31" i="1"/>
  <c r="S33" i="1" s="1"/>
  <c r="S35" i="1" s="1"/>
  <c r="S37" i="1" s="1"/>
  <c r="R31" i="1"/>
  <c r="R33" i="1" s="1"/>
  <c r="R35" i="1" s="1"/>
  <c r="R37" i="1" s="1"/>
  <c r="Q31" i="1"/>
  <c r="Q33" i="1" s="1"/>
  <c r="Q35" i="1" s="1"/>
  <c r="Q37" i="1" s="1"/>
  <c r="P31" i="1"/>
  <c r="P33" i="1" s="1"/>
  <c r="P35" i="1" s="1"/>
  <c r="P37" i="1" s="1"/>
  <c r="O31" i="1"/>
  <c r="O33" i="1" s="1"/>
  <c r="O35" i="1" s="1"/>
  <c r="O37" i="1" s="1"/>
  <c r="N31" i="1"/>
  <c r="N33" i="1" s="1"/>
  <c r="N35" i="1" s="1"/>
  <c r="N37" i="1" s="1"/>
  <c r="M31" i="1"/>
  <c r="M33" i="1" s="1"/>
  <c r="M35" i="1" s="1"/>
  <c r="M37" i="1" s="1"/>
  <c r="L31" i="1"/>
  <c r="L33" i="1" s="1"/>
  <c r="L35" i="1" s="1"/>
  <c r="L37" i="1" s="1"/>
  <c r="K31" i="1"/>
  <c r="K33" i="1" s="1"/>
  <c r="K35" i="1" s="1"/>
  <c r="K37" i="1" s="1"/>
  <c r="J31" i="1"/>
  <c r="J33" i="1" s="1"/>
  <c r="J35" i="1" s="1"/>
  <c r="J37" i="1" s="1"/>
  <c r="I31" i="1"/>
  <c r="I33" i="1" s="1"/>
  <c r="I35" i="1" s="1"/>
  <c r="I37" i="1" s="1"/>
  <c r="H31" i="1"/>
  <c r="H33" i="1" s="1"/>
  <c r="H35" i="1" s="1"/>
  <c r="H37" i="1" s="1"/>
  <c r="G31" i="1"/>
  <c r="G33" i="1" s="1"/>
  <c r="G35" i="1" s="1"/>
  <c r="G37" i="1" s="1"/>
  <c r="F31" i="1"/>
  <c r="F33" i="1" s="1"/>
  <c r="F35" i="1" s="1"/>
  <c r="F37" i="1" s="1"/>
  <c r="E31" i="1"/>
  <c r="E33" i="1" s="1"/>
  <c r="E35" i="1" s="1"/>
  <c r="E37" i="1" s="1"/>
  <c r="D31" i="1"/>
  <c r="D33" i="1" s="1"/>
  <c r="D35" i="1" s="1"/>
  <c r="D37" i="1" s="1"/>
  <c r="AC31" i="1"/>
  <c r="AC33" i="1" s="1"/>
  <c r="AC35" i="1" s="1"/>
  <c r="AC37" i="1" s="1"/>
  <c r="AD19" i="1"/>
  <c r="AD21" i="1" s="1"/>
  <c r="AD23" i="1" s="1"/>
  <c r="AB19" i="1"/>
  <c r="AB21" i="1" s="1"/>
  <c r="AB23" i="1" s="1"/>
  <c r="AA19" i="1"/>
  <c r="AA21" i="1" s="1"/>
  <c r="AA23" i="1" s="1"/>
  <c r="Z19" i="1"/>
  <c r="Z21" i="1" s="1"/>
  <c r="Z23" i="1" s="1"/>
  <c r="Z25" i="1" s="1"/>
  <c r="Y19" i="1"/>
  <c r="Y21" i="1" s="1"/>
  <c r="Y23" i="1" s="1"/>
  <c r="X19" i="1"/>
  <c r="X21" i="1" s="1"/>
  <c r="X23" i="1" s="1"/>
  <c r="W19" i="1"/>
  <c r="W21" i="1" s="1"/>
  <c r="W23" i="1" s="1"/>
  <c r="V19" i="1"/>
  <c r="V21" i="1" s="1"/>
  <c r="V23" i="1" s="1"/>
  <c r="U19" i="1"/>
  <c r="U21" i="1" s="1"/>
  <c r="U23" i="1" s="1"/>
  <c r="U25" i="1" s="1"/>
  <c r="T19" i="1"/>
  <c r="T21" i="1" s="1"/>
  <c r="T23" i="1" s="1"/>
  <c r="S19" i="1"/>
  <c r="S21" i="1" s="1"/>
  <c r="S23" i="1" s="1"/>
  <c r="R19" i="1"/>
  <c r="R21" i="1" s="1"/>
  <c r="R23" i="1" s="1"/>
  <c r="Q19" i="1"/>
  <c r="Q21" i="1" s="1"/>
  <c r="Q23" i="1" s="1"/>
  <c r="P19" i="1"/>
  <c r="P21" i="1" s="1"/>
  <c r="P23" i="1" s="1"/>
  <c r="O19" i="1"/>
  <c r="O21" i="1" s="1"/>
  <c r="O23" i="1" s="1"/>
  <c r="O25" i="1" s="1"/>
  <c r="O17" i="1" s="1"/>
  <c r="N19" i="1"/>
  <c r="N21" i="1" s="1"/>
  <c r="N23" i="1" s="1"/>
  <c r="N25" i="1" s="1"/>
  <c r="M19" i="1"/>
  <c r="M21" i="1" s="1"/>
  <c r="M23" i="1" s="1"/>
  <c r="L19" i="1"/>
  <c r="L21" i="1" s="1"/>
  <c r="L23" i="1" s="1"/>
  <c r="K19" i="1"/>
  <c r="K21" i="1" s="1"/>
  <c r="K23" i="1" s="1"/>
  <c r="J19" i="1"/>
  <c r="J21" i="1" s="1"/>
  <c r="J23" i="1" s="1"/>
  <c r="I19" i="1"/>
  <c r="I21" i="1" s="1"/>
  <c r="I23" i="1" s="1"/>
  <c r="H19" i="1"/>
  <c r="H21" i="1" s="1"/>
  <c r="H23" i="1" s="1"/>
  <c r="G19" i="1"/>
  <c r="G21" i="1" s="1"/>
  <c r="G23" i="1" s="1"/>
  <c r="F19" i="1"/>
  <c r="F21" i="1" s="1"/>
  <c r="F23" i="1" s="1"/>
  <c r="E19" i="1"/>
  <c r="E21" i="1" s="1"/>
  <c r="E23" i="1" s="1"/>
  <c r="D19" i="1"/>
  <c r="D21" i="1" s="1"/>
  <c r="D23" i="1" s="1"/>
  <c r="AC19" i="1"/>
  <c r="AC21" i="1" s="1"/>
  <c r="AC23" i="1" s="1"/>
  <c r="C4" i="1"/>
  <c r="F4" i="1" s="1"/>
  <c r="G4" i="1" s="1"/>
  <c r="I224" i="1" l="1"/>
  <c r="I225" i="1"/>
  <c r="I25" i="1"/>
  <c r="P222" i="1"/>
  <c r="P223" i="1"/>
  <c r="AB222" i="1"/>
  <c r="AB223" i="1"/>
  <c r="J229" i="1"/>
  <c r="J228" i="1"/>
  <c r="J231" i="1"/>
  <c r="I241" i="1"/>
  <c r="I243" i="1"/>
  <c r="I240" i="1"/>
  <c r="K243" i="1"/>
  <c r="K241" i="1"/>
  <c r="K240" i="1"/>
  <c r="J249" i="1"/>
  <c r="J247" i="1"/>
  <c r="J246" i="1"/>
  <c r="Y256" i="1"/>
  <c r="Y253" i="1"/>
  <c r="Y90" i="1"/>
  <c r="E265" i="1"/>
  <c r="E268" i="1"/>
  <c r="E110" i="1"/>
  <c r="D222" i="1"/>
  <c r="D223" i="1"/>
  <c r="D39" i="1"/>
  <c r="D29" i="1" s="1"/>
  <c r="D221" i="1" s="1"/>
  <c r="F38" i="1"/>
  <c r="F39" i="1" s="1"/>
  <c r="F29" i="1" s="1"/>
  <c r="F221" i="1" s="1"/>
  <c r="AD222" i="1"/>
  <c r="AD223" i="1"/>
  <c r="T222" i="1"/>
  <c r="T223" i="1"/>
  <c r="M237" i="1"/>
  <c r="M234" i="1"/>
  <c r="M235" i="1"/>
  <c r="Y234" i="1"/>
  <c r="Y235" i="1"/>
  <c r="Y237" i="1"/>
  <c r="AA235" i="1"/>
  <c r="AA237" i="1"/>
  <c r="AA234" i="1"/>
  <c r="Z256" i="1"/>
  <c r="Z253" i="1"/>
  <c r="Z90" i="1"/>
  <c r="I277" i="1"/>
  <c r="I280" i="1"/>
  <c r="I130" i="1"/>
  <c r="U280" i="1"/>
  <c r="U277" i="1"/>
  <c r="U130" i="1"/>
  <c r="L286" i="1"/>
  <c r="L283" i="1"/>
  <c r="L140" i="1"/>
  <c r="L282" i="1" s="1"/>
  <c r="AD293" i="1"/>
  <c r="AD290" i="1"/>
  <c r="AD151" i="1"/>
  <c r="I305" i="1"/>
  <c r="I302" i="1"/>
  <c r="I171" i="1"/>
  <c r="E223" i="1"/>
  <c r="E222" i="1"/>
  <c r="E39" i="1"/>
  <c r="E29" i="1" s="1"/>
  <c r="E221" i="1" s="1"/>
  <c r="G38" i="1"/>
  <c r="G39" i="1" s="1"/>
  <c r="G29" i="1" s="1"/>
  <c r="G221" i="1" s="1"/>
  <c r="Q223" i="1"/>
  <c r="Q222" i="1"/>
  <c r="F223" i="1"/>
  <c r="F222" i="1"/>
  <c r="L228" i="1"/>
  <c r="L231" i="1"/>
  <c r="L229" i="1"/>
  <c r="Z228" i="1"/>
  <c r="Z231" i="1"/>
  <c r="Z229" i="1"/>
  <c r="N237" i="1"/>
  <c r="N234" i="1"/>
  <c r="N235" i="1"/>
  <c r="Z235" i="1"/>
  <c r="Z237" i="1"/>
  <c r="Z234" i="1"/>
  <c r="L235" i="1"/>
  <c r="L237" i="1"/>
  <c r="L234" i="1"/>
  <c r="M240" i="1"/>
  <c r="M243" i="1"/>
  <c r="M241" i="1"/>
  <c r="L246" i="1"/>
  <c r="L249" i="1"/>
  <c r="L247" i="1"/>
  <c r="Z246" i="1"/>
  <c r="Z249" i="1"/>
  <c r="Z247" i="1"/>
  <c r="AC253" i="1"/>
  <c r="AC256" i="1"/>
  <c r="AC90" i="1"/>
  <c r="J225" i="1"/>
  <c r="J224" i="1"/>
  <c r="J25" i="1"/>
  <c r="L224" i="1"/>
  <c r="L225" i="1"/>
  <c r="L25" i="1"/>
  <c r="X225" i="1"/>
  <c r="X224" i="1"/>
  <c r="X25" i="1"/>
  <c r="U338" i="1"/>
  <c r="U336" i="1" s="1"/>
  <c r="U216" i="1"/>
  <c r="U219" i="1"/>
  <c r="U217" i="1"/>
  <c r="U17" i="1"/>
  <c r="J222" i="1"/>
  <c r="J223" i="1"/>
  <c r="M228" i="1"/>
  <c r="M231" i="1"/>
  <c r="M229" i="1"/>
  <c r="AA231" i="1"/>
  <c r="AA229" i="1"/>
  <c r="AA228" i="1"/>
  <c r="AC237" i="1"/>
  <c r="AC235" i="1"/>
  <c r="AC234" i="1"/>
  <c r="M246" i="1"/>
  <c r="M247" i="1"/>
  <c r="M249" i="1"/>
  <c r="AA247" i="1"/>
  <c r="AA246" i="1"/>
  <c r="AA249" i="1"/>
  <c r="J259" i="1"/>
  <c r="J262" i="1"/>
  <c r="J100" i="1"/>
  <c r="V262" i="1"/>
  <c r="V259" i="1"/>
  <c r="V100" i="1"/>
  <c r="N286" i="1"/>
  <c r="N283" i="1"/>
  <c r="N140" i="1"/>
  <c r="N282" i="1" s="1"/>
  <c r="Z283" i="1"/>
  <c r="Z286" i="1"/>
  <c r="Z140" i="1"/>
  <c r="Z282" i="1" s="1"/>
  <c r="AC299" i="1"/>
  <c r="AC296" i="1"/>
  <c r="AC161" i="1"/>
  <c r="N246" i="1"/>
  <c r="N247" i="1"/>
  <c r="N249" i="1"/>
  <c r="AA225" i="1"/>
  <c r="AA224" i="1"/>
  <c r="AA25" i="1"/>
  <c r="N240" i="1"/>
  <c r="N241" i="1"/>
  <c r="N243" i="1"/>
  <c r="AC224" i="1"/>
  <c r="AC225" i="1"/>
  <c r="AC25" i="1"/>
  <c r="K293" i="1"/>
  <c r="K290" i="1"/>
  <c r="K151" i="1"/>
  <c r="H222" i="1"/>
  <c r="H223" i="1"/>
  <c r="P235" i="1"/>
  <c r="P237" i="1"/>
  <c r="P234" i="1"/>
  <c r="Q235" i="1"/>
  <c r="Q237" i="1"/>
  <c r="Q234" i="1"/>
  <c r="U302" i="1"/>
  <c r="U305" i="1"/>
  <c r="U171" i="1"/>
  <c r="G234" i="1"/>
  <c r="G235" i="1"/>
  <c r="G237" i="1"/>
  <c r="Q231" i="1"/>
  <c r="Q228" i="1"/>
  <c r="Q229" i="1"/>
  <c r="AC231" i="1"/>
  <c r="AC228" i="1"/>
  <c r="AC229" i="1"/>
  <c r="D243" i="1"/>
  <c r="D240" i="1"/>
  <c r="D241" i="1"/>
  <c r="D75" i="1"/>
  <c r="D65" i="1" s="1"/>
  <c r="F74" i="1"/>
  <c r="P243" i="1"/>
  <c r="P240" i="1"/>
  <c r="P241" i="1"/>
  <c r="AB243" i="1"/>
  <c r="AB240" i="1"/>
  <c r="AB241" i="1"/>
  <c r="Y240" i="1"/>
  <c r="Y243" i="1"/>
  <c r="Y241" i="1"/>
  <c r="E247" i="1"/>
  <c r="E249" i="1"/>
  <c r="E246" i="1"/>
  <c r="E87" i="1"/>
  <c r="E77" i="1" s="1"/>
  <c r="G86" i="1"/>
  <c r="Q246" i="1"/>
  <c r="Q247" i="1"/>
  <c r="Q249" i="1"/>
  <c r="AC249" i="1"/>
  <c r="AC246" i="1"/>
  <c r="AC247" i="1"/>
  <c r="W249" i="1"/>
  <c r="W246" i="1"/>
  <c r="W247" i="1"/>
  <c r="N228" i="1"/>
  <c r="N231" i="1"/>
  <c r="N229" i="1"/>
  <c r="N338" i="1"/>
  <c r="N336" i="1" s="1"/>
  <c r="N216" i="1"/>
  <c r="N219" i="1"/>
  <c r="N217" i="1"/>
  <c r="N17" i="1"/>
  <c r="AD234" i="1"/>
  <c r="AD237" i="1"/>
  <c r="AD235" i="1"/>
  <c r="S223" i="1"/>
  <c r="S222" i="1"/>
  <c r="D224" i="1"/>
  <c r="D225" i="1"/>
  <c r="D25" i="1"/>
  <c r="W222" i="1"/>
  <c r="W223" i="1"/>
  <c r="F229" i="1"/>
  <c r="F231" i="1"/>
  <c r="F228" i="1"/>
  <c r="R229" i="1"/>
  <c r="R231" i="1"/>
  <c r="R228" i="1"/>
  <c r="AD229" i="1"/>
  <c r="AD231" i="1"/>
  <c r="AD228" i="1"/>
  <c r="W229" i="1"/>
  <c r="W228" i="1"/>
  <c r="W231" i="1"/>
  <c r="O235" i="1"/>
  <c r="O237" i="1"/>
  <c r="O234" i="1"/>
  <c r="E240" i="1"/>
  <c r="E241" i="1"/>
  <c r="E243" i="1"/>
  <c r="E75" i="1"/>
  <c r="E65" i="1" s="1"/>
  <c r="G74" i="1"/>
  <c r="G75" i="1" s="1"/>
  <c r="G65" i="1" s="1"/>
  <c r="Q240" i="1"/>
  <c r="Q241" i="1"/>
  <c r="Q243" i="1"/>
  <c r="AC241" i="1"/>
  <c r="AC243" i="1"/>
  <c r="AC240" i="1"/>
  <c r="F246" i="1"/>
  <c r="F247" i="1"/>
  <c r="F249" i="1"/>
  <c r="R246" i="1"/>
  <c r="R247" i="1"/>
  <c r="R249" i="1"/>
  <c r="AD246" i="1"/>
  <c r="AD247" i="1"/>
  <c r="AD249" i="1"/>
  <c r="X249" i="1"/>
  <c r="X247" i="1"/>
  <c r="X246" i="1"/>
  <c r="AC262" i="1"/>
  <c r="AC259" i="1"/>
  <c r="AC100" i="1"/>
  <c r="M268" i="1"/>
  <c r="M265" i="1"/>
  <c r="M110" i="1"/>
  <c r="Y268" i="1"/>
  <c r="Y265" i="1"/>
  <c r="Y110" i="1"/>
  <c r="P307" i="1"/>
  <c r="P310" i="1"/>
  <c r="P309" i="1"/>
  <c r="K223" i="1"/>
  <c r="K222" i="1"/>
  <c r="X234" i="1"/>
  <c r="X235" i="1"/>
  <c r="X237" i="1"/>
  <c r="E234" i="1"/>
  <c r="E235" i="1"/>
  <c r="E237" i="1"/>
  <c r="G62" i="1"/>
  <c r="G63" i="1" s="1"/>
  <c r="G53" i="1" s="1"/>
  <c r="E63" i="1"/>
  <c r="E53" i="1" s="1"/>
  <c r="S258" i="1"/>
  <c r="S261" i="1"/>
  <c r="S260" i="1"/>
  <c r="E231" i="1"/>
  <c r="E228" i="1"/>
  <c r="E229" i="1"/>
  <c r="E51" i="1"/>
  <c r="E41" i="1" s="1"/>
  <c r="G50" i="1"/>
  <c r="G51" i="1" s="1"/>
  <c r="G41" i="1" s="1"/>
  <c r="F225" i="1"/>
  <c r="F224" i="1"/>
  <c r="F25" i="1"/>
  <c r="G225" i="1"/>
  <c r="G224" i="1"/>
  <c r="G25" i="1"/>
  <c r="M222" i="1"/>
  <c r="M223" i="1"/>
  <c r="X228" i="1"/>
  <c r="X231" i="1"/>
  <c r="X229" i="1"/>
  <c r="I237" i="1"/>
  <c r="I234" i="1"/>
  <c r="I235" i="1"/>
  <c r="F240" i="1"/>
  <c r="F241" i="1"/>
  <c r="F243" i="1"/>
  <c r="F75" i="1"/>
  <c r="F65" i="1" s="1"/>
  <c r="H74" i="1"/>
  <c r="H75" i="1" s="1"/>
  <c r="H65" i="1" s="1"/>
  <c r="R240" i="1"/>
  <c r="R241" i="1"/>
  <c r="R243" i="1"/>
  <c r="AD240" i="1"/>
  <c r="AD243" i="1"/>
  <c r="AD241" i="1"/>
  <c r="H241" i="1"/>
  <c r="H243" i="1"/>
  <c r="H240" i="1"/>
  <c r="G87" i="1"/>
  <c r="G77" i="1" s="1"/>
  <c r="D248" i="1"/>
  <c r="D245" i="1"/>
  <c r="J253" i="1"/>
  <c r="J256" i="1"/>
  <c r="J90" i="1"/>
  <c r="V253" i="1"/>
  <c r="V256" i="1"/>
  <c r="V90" i="1"/>
  <c r="M256" i="1"/>
  <c r="M253" i="1"/>
  <c r="M90" i="1"/>
  <c r="Z267" i="1"/>
  <c r="Z266" i="1"/>
  <c r="Z264" i="1"/>
  <c r="AC311" i="1"/>
  <c r="AC308" i="1"/>
  <c r="AC181" i="1"/>
  <c r="D235" i="1"/>
  <c r="D234" i="1"/>
  <c r="D237" i="1"/>
  <c r="D63" i="1"/>
  <c r="D53" i="1" s="1"/>
  <c r="F62" i="1"/>
  <c r="F63" i="1" s="1"/>
  <c r="F53" i="1" s="1"/>
  <c r="Z338" i="1"/>
  <c r="Z336" i="1" s="1"/>
  <c r="Z216" i="1"/>
  <c r="Z219" i="1"/>
  <c r="Z217" i="1"/>
  <c r="Z17" i="1"/>
  <c r="F234" i="1"/>
  <c r="F237" i="1"/>
  <c r="F235" i="1"/>
  <c r="P224" i="1"/>
  <c r="P225" i="1"/>
  <c r="P25" i="1"/>
  <c r="E225" i="1"/>
  <c r="E224" i="1"/>
  <c r="E25" i="1"/>
  <c r="N223" i="1"/>
  <c r="N222" i="1"/>
  <c r="Y223" i="1"/>
  <c r="Y222" i="1"/>
  <c r="H229" i="1"/>
  <c r="H231" i="1"/>
  <c r="H228" i="1"/>
  <c r="J237" i="1"/>
  <c r="J234" i="1"/>
  <c r="J235" i="1"/>
  <c r="G240" i="1"/>
  <c r="G241" i="1"/>
  <c r="G243" i="1"/>
  <c r="H249" i="1"/>
  <c r="H247" i="1"/>
  <c r="H246" i="1"/>
  <c r="K249" i="1"/>
  <c r="K247" i="1"/>
  <c r="K246" i="1"/>
  <c r="K256" i="1"/>
  <c r="K253" i="1"/>
  <c r="K90" i="1"/>
  <c r="W256" i="1"/>
  <c r="W253" i="1"/>
  <c r="W90" i="1"/>
  <c r="O253" i="1"/>
  <c r="O256" i="1"/>
  <c r="O90" i="1"/>
  <c r="N255" i="1"/>
  <c r="N254" i="1"/>
  <c r="N252" i="1"/>
  <c r="AC265" i="1"/>
  <c r="AC268" i="1"/>
  <c r="AC110" i="1"/>
  <c r="O293" i="1"/>
  <c r="O290" i="1"/>
  <c r="O151" i="1"/>
  <c r="AB235" i="1"/>
  <c r="AB237" i="1"/>
  <c r="AB234" i="1"/>
  <c r="AB253" i="1"/>
  <c r="AB256" i="1"/>
  <c r="AB90" i="1"/>
  <c r="R234" i="1"/>
  <c r="R235" i="1"/>
  <c r="R237" i="1"/>
  <c r="AB224" i="1"/>
  <c r="AB225" i="1"/>
  <c r="AB25" i="1"/>
  <c r="AD225" i="1"/>
  <c r="AD224" i="1"/>
  <c r="AD25" i="1"/>
  <c r="O218" i="1"/>
  <c r="O215" i="1"/>
  <c r="Z223" i="1"/>
  <c r="Z222" i="1"/>
  <c r="AC223" i="1"/>
  <c r="AC222" i="1"/>
  <c r="G223" i="1"/>
  <c r="G222" i="1"/>
  <c r="I229" i="1"/>
  <c r="I228" i="1"/>
  <c r="I231" i="1"/>
  <c r="J241" i="1"/>
  <c r="J243" i="1"/>
  <c r="J240" i="1"/>
  <c r="I249" i="1"/>
  <c r="I247" i="1"/>
  <c r="I246" i="1"/>
  <c r="P253" i="1"/>
  <c r="P256" i="1"/>
  <c r="P90" i="1"/>
  <c r="K229" i="1"/>
  <c r="K228" i="1"/>
  <c r="K231" i="1"/>
  <c r="O247" i="1"/>
  <c r="O246" i="1"/>
  <c r="O249" i="1"/>
  <c r="H253" i="1"/>
  <c r="H256" i="1"/>
  <c r="H90" i="1"/>
  <c r="T253" i="1"/>
  <c r="T256" i="1"/>
  <c r="T90" i="1"/>
  <c r="F253" i="1"/>
  <c r="F256" i="1"/>
  <c r="F90" i="1"/>
  <c r="AD253" i="1"/>
  <c r="AD256" i="1"/>
  <c r="AD90" i="1"/>
  <c r="I253" i="1"/>
  <c r="I256" i="1"/>
  <c r="I90" i="1"/>
  <c r="R258" i="1"/>
  <c r="R261" i="1"/>
  <c r="R260" i="1"/>
  <c r="O259" i="1"/>
  <c r="O262" i="1"/>
  <c r="O100" i="1"/>
  <c r="E262" i="1"/>
  <c r="E259" i="1"/>
  <c r="E100" i="1"/>
  <c r="L268" i="1"/>
  <c r="L110" i="1"/>
  <c r="L265" i="1"/>
  <c r="X268" i="1"/>
  <c r="X265" i="1"/>
  <c r="X110" i="1"/>
  <c r="S268" i="1"/>
  <c r="S265" i="1"/>
  <c r="S110" i="1"/>
  <c r="Q265" i="1"/>
  <c r="Q268" i="1"/>
  <c r="Q110" i="1"/>
  <c r="H274" i="1"/>
  <c r="H271" i="1"/>
  <c r="H120" i="1"/>
  <c r="T271" i="1"/>
  <c r="T120" i="1"/>
  <c r="T274" i="1"/>
  <c r="G274" i="1"/>
  <c r="G271" i="1"/>
  <c r="G120" i="1"/>
  <c r="X274" i="1"/>
  <c r="X271" i="1"/>
  <c r="X120" i="1"/>
  <c r="M280" i="1"/>
  <c r="M277" i="1"/>
  <c r="M130" i="1"/>
  <c r="I283" i="1"/>
  <c r="I286" i="1"/>
  <c r="I140" i="1"/>
  <c r="I282" i="1" s="1"/>
  <c r="AD283" i="1"/>
  <c r="AD286" i="1"/>
  <c r="O299" i="1"/>
  <c r="O296" i="1"/>
  <c r="O161" i="1"/>
  <c r="AA299" i="1"/>
  <c r="AA296" i="1"/>
  <c r="AA161" i="1"/>
  <c r="AD299" i="1"/>
  <c r="AD296" i="1"/>
  <c r="AD161" i="1"/>
  <c r="P302" i="1"/>
  <c r="P305" i="1"/>
  <c r="P171" i="1"/>
  <c r="AB305" i="1"/>
  <c r="AB302" i="1"/>
  <c r="AB171" i="1"/>
  <c r="Y320" i="1"/>
  <c r="Y323" i="1"/>
  <c r="Y201" i="1"/>
  <c r="V237" i="1"/>
  <c r="V234" i="1"/>
  <c r="V235" i="1"/>
  <c r="O225" i="1"/>
  <c r="O224" i="1"/>
  <c r="M224" i="1"/>
  <c r="M225" i="1"/>
  <c r="Y224" i="1"/>
  <c r="Y225" i="1"/>
  <c r="M25" i="1"/>
  <c r="O231" i="1"/>
  <c r="O228" i="1"/>
  <c r="O229" i="1"/>
  <c r="T234" i="1"/>
  <c r="T237" i="1"/>
  <c r="T235" i="1"/>
  <c r="O243" i="1"/>
  <c r="O241" i="1"/>
  <c r="O240" i="1"/>
  <c r="AA243" i="1"/>
  <c r="AA240" i="1"/>
  <c r="AA241" i="1"/>
  <c r="G253" i="1"/>
  <c r="G256" i="1"/>
  <c r="G90" i="1"/>
  <c r="D256" i="1"/>
  <c r="D253" i="1"/>
  <c r="D90" i="1"/>
  <c r="G262" i="1"/>
  <c r="G259" i="1"/>
  <c r="AB267" i="1"/>
  <c r="AB264" i="1"/>
  <c r="AB266" i="1"/>
  <c r="I274" i="1"/>
  <c r="I271" i="1"/>
  <c r="I120" i="1"/>
  <c r="U274" i="1"/>
  <c r="U271" i="1"/>
  <c r="U120" i="1"/>
  <c r="AB271" i="1"/>
  <c r="AB274" i="1"/>
  <c r="AB120" i="1"/>
  <c r="J277" i="1"/>
  <c r="J280" i="1"/>
  <c r="V277" i="1"/>
  <c r="V280" i="1"/>
  <c r="O277" i="1"/>
  <c r="O280" i="1"/>
  <c r="O130" i="1"/>
  <c r="J283" i="1"/>
  <c r="J286" i="1"/>
  <c r="J140" i="1"/>
  <c r="J282" i="1" s="1"/>
  <c r="V286" i="1"/>
  <c r="V283" i="1"/>
  <c r="V140" i="1"/>
  <c r="V282" i="1" s="1"/>
  <c r="K286" i="1"/>
  <c r="K283" i="1"/>
  <c r="K140" i="1"/>
  <c r="K282" i="1" s="1"/>
  <c r="M290" i="1"/>
  <c r="M293" i="1"/>
  <c r="M151" i="1"/>
  <c r="W293" i="1"/>
  <c r="W290" i="1"/>
  <c r="W151" i="1"/>
  <c r="AB299" i="1"/>
  <c r="AB296" i="1"/>
  <c r="AB161" i="1"/>
  <c r="R299" i="1"/>
  <c r="R296" i="1"/>
  <c r="R161" i="1"/>
  <c r="K305" i="1"/>
  <c r="K302" i="1"/>
  <c r="K171" i="1"/>
  <c r="W302" i="1"/>
  <c r="W305" i="1"/>
  <c r="W171" i="1"/>
  <c r="R171" i="1"/>
  <c r="R302" i="1"/>
  <c r="R305" i="1"/>
  <c r="N311" i="1"/>
  <c r="N181" i="1"/>
  <c r="N308" i="1"/>
  <c r="Z317" i="1"/>
  <c r="Z314" i="1"/>
  <c r="E322" i="1"/>
  <c r="E321" i="1"/>
  <c r="E319" i="1"/>
  <c r="J320" i="1"/>
  <c r="J323" i="1"/>
  <c r="J201" i="1"/>
  <c r="Q225" i="1"/>
  <c r="Q224" i="1"/>
  <c r="Q25" i="1"/>
  <c r="O222" i="1"/>
  <c r="O223" i="1"/>
  <c r="AA222" i="1"/>
  <c r="AA223" i="1"/>
  <c r="X240" i="1"/>
  <c r="X241" i="1"/>
  <c r="X243" i="1"/>
  <c r="U241" i="1"/>
  <c r="U240" i="1"/>
  <c r="U243" i="1"/>
  <c r="T249" i="1"/>
  <c r="T247" i="1"/>
  <c r="T246" i="1"/>
  <c r="L256" i="1"/>
  <c r="L253" i="1"/>
  <c r="T261" i="1"/>
  <c r="T260" i="1"/>
  <c r="T258" i="1"/>
  <c r="W259" i="1"/>
  <c r="W262" i="1"/>
  <c r="W100" i="1"/>
  <c r="I262" i="1"/>
  <c r="I259" i="1"/>
  <c r="I100" i="1"/>
  <c r="AD266" i="1"/>
  <c r="AD267" i="1"/>
  <c r="AD264" i="1"/>
  <c r="N265" i="1"/>
  <c r="N268" i="1"/>
  <c r="Z268" i="1"/>
  <c r="Z265" i="1"/>
  <c r="U265" i="1"/>
  <c r="U268" i="1"/>
  <c r="U110" i="1"/>
  <c r="J274" i="1"/>
  <c r="J271" i="1"/>
  <c r="V274" i="1"/>
  <c r="V271" i="1"/>
  <c r="O271" i="1"/>
  <c r="O274" i="1"/>
  <c r="O120" i="1"/>
  <c r="M274" i="1"/>
  <c r="M271" i="1"/>
  <c r="M120" i="1"/>
  <c r="G292" i="1"/>
  <c r="G291" i="1"/>
  <c r="G289" i="1"/>
  <c r="P293" i="1"/>
  <c r="P290" i="1"/>
  <c r="P151" i="1"/>
  <c r="X293" i="1"/>
  <c r="X290" i="1"/>
  <c r="X151" i="1"/>
  <c r="L305" i="1"/>
  <c r="L302" i="1"/>
  <c r="L171" i="1"/>
  <c r="X305" i="1"/>
  <c r="X302" i="1"/>
  <c r="X171" i="1"/>
  <c r="V241" i="1"/>
  <c r="V243" i="1"/>
  <c r="V240" i="1"/>
  <c r="S240" i="1"/>
  <c r="S241" i="1"/>
  <c r="S243" i="1"/>
  <c r="U249" i="1"/>
  <c r="U247" i="1"/>
  <c r="U246" i="1"/>
  <c r="Q262" i="1"/>
  <c r="Q259" i="1"/>
  <c r="Q100" i="1"/>
  <c r="O265" i="1"/>
  <c r="O268" i="1"/>
  <c r="O110" i="1"/>
  <c r="AA265" i="1"/>
  <c r="AA268" i="1"/>
  <c r="AA110" i="1"/>
  <c r="W268" i="1"/>
  <c r="W265" i="1"/>
  <c r="W110" i="1"/>
  <c r="J273" i="1"/>
  <c r="J272" i="1"/>
  <c r="J270" i="1"/>
  <c r="K274" i="1"/>
  <c r="K271" i="1"/>
  <c r="K120" i="1"/>
  <c r="W271" i="1"/>
  <c r="W274" i="1"/>
  <c r="W120" i="1"/>
  <c r="Y274" i="1"/>
  <c r="Y271" i="1"/>
  <c r="Y120" i="1"/>
  <c r="W277" i="1"/>
  <c r="W280" i="1"/>
  <c r="W130" i="1"/>
  <c r="X286" i="1"/>
  <c r="X283" i="1"/>
  <c r="X140" i="1"/>
  <c r="X282" i="1" s="1"/>
  <c r="T286" i="1"/>
  <c r="T283" i="1"/>
  <c r="T140" i="1"/>
  <c r="T282" i="1" s="1"/>
  <c r="V289" i="1"/>
  <c r="V292" i="1"/>
  <c r="V291" i="1"/>
  <c r="N151" i="1"/>
  <c r="N293" i="1"/>
  <c r="N290" i="1"/>
  <c r="R293" i="1"/>
  <c r="R290" i="1"/>
  <c r="R151" i="1"/>
  <c r="D299" i="1"/>
  <c r="D296" i="1"/>
  <c r="D161" i="1"/>
  <c r="M304" i="1"/>
  <c r="M303" i="1"/>
  <c r="M301" i="1"/>
  <c r="M305" i="1"/>
  <c r="M302" i="1"/>
  <c r="Y305" i="1"/>
  <c r="Y302" i="1"/>
  <c r="Y171" i="1"/>
  <c r="AA311" i="1"/>
  <c r="AA308" i="1"/>
  <c r="AA181" i="1"/>
  <c r="G314" i="1"/>
  <c r="G317" i="1"/>
  <c r="G191" i="1"/>
  <c r="S314" i="1"/>
  <c r="S317" i="1"/>
  <c r="S191" i="1"/>
  <c r="E314" i="1"/>
  <c r="E317" i="1"/>
  <c r="E191" i="1"/>
  <c r="X323" i="1"/>
  <c r="X320" i="1"/>
  <c r="X201" i="1"/>
  <c r="T225" i="1"/>
  <c r="T224" i="1"/>
  <c r="T25" i="1"/>
  <c r="S246" i="1"/>
  <c r="S247" i="1"/>
  <c r="S249" i="1"/>
  <c r="N273" i="1"/>
  <c r="N272" i="1"/>
  <c r="N270" i="1"/>
  <c r="G229" i="1"/>
  <c r="G228" i="1"/>
  <c r="G231" i="1"/>
  <c r="S229" i="1"/>
  <c r="S231" i="1"/>
  <c r="S228" i="1"/>
  <c r="AB231" i="1"/>
  <c r="AB229" i="1"/>
  <c r="AB228" i="1"/>
  <c r="Y228" i="1"/>
  <c r="Y231" i="1"/>
  <c r="Y229" i="1"/>
  <c r="V229" i="1"/>
  <c r="V228" i="1"/>
  <c r="V231" i="1"/>
  <c r="Q253" i="1"/>
  <c r="Q256" i="1"/>
  <c r="Q90" i="1"/>
  <c r="AA259" i="1"/>
  <c r="AA262" i="1"/>
  <c r="AA100" i="1"/>
  <c r="U262" i="1"/>
  <c r="U259" i="1"/>
  <c r="U100" i="1"/>
  <c r="AD265" i="1"/>
  <c r="AD268" i="1"/>
  <c r="D268" i="1"/>
  <c r="D265" i="1"/>
  <c r="V120" i="1"/>
  <c r="S274" i="1"/>
  <c r="S271" i="1"/>
  <c r="S120" i="1"/>
  <c r="V130" i="1"/>
  <c r="N277" i="1"/>
  <c r="N280" i="1"/>
  <c r="N130" i="1"/>
  <c r="Z280" i="1"/>
  <c r="Z277" i="1"/>
  <c r="Z130" i="1"/>
  <c r="Y280" i="1"/>
  <c r="Y277" i="1"/>
  <c r="Y130" i="1"/>
  <c r="AD140" i="1"/>
  <c r="AD282" i="1" s="1"/>
  <c r="W286" i="1"/>
  <c r="W283" i="1"/>
  <c r="W140" i="1"/>
  <c r="W282" i="1" s="1"/>
  <c r="V293" i="1"/>
  <c r="V290" i="1"/>
  <c r="H296" i="1"/>
  <c r="H299" i="1"/>
  <c r="H161" i="1"/>
  <c r="F299" i="1"/>
  <c r="F296" i="1"/>
  <c r="F161" i="1"/>
  <c r="AC305" i="1"/>
  <c r="AC302" i="1"/>
  <c r="AC171" i="1"/>
  <c r="O305" i="1"/>
  <c r="O302" i="1"/>
  <c r="O171" i="1"/>
  <c r="AA305" i="1"/>
  <c r="AA302" i="1"/>
  <c r="AA171" i="1"/>
  <c r="U314" i="1"/>
  <c r="U317" i="1"/>
  <c r="U191" i="1"/>
  <c r="N314" i="1"/>
  <c r="N317" i="1"/>
  <c r="N191" i="1"/>
  <c r="U224" i="1"/>
  <c r="U225" i="1"/>
  <c r="S225" i="1"/>
  <c r="S224" i="1"/>
  <c r="S25" i="1"/>
  <c r="T240" i="1"/>
  <c r="T241" i="1"/>
  <c r="T243" i="1"/>
  <c r="Y249" i="1"/>
  <c r="Y246" i="1"/>
  <c r="Y247" i="1"/>
  <c r="N259" i="1"/>
  <c r="N262" i="1"/>
  <c r="N100" i="1"/>
  <c r="G296" i="1"/>
  <c r="G299" i="1"/>
  <c r="G161" i="1"/>
  <c r="W308" i="1"/>
  <c r="W311" i="1"/>
  <c r="W181" i="1"/>
  <c r="I308" i="1"/>
  <c r="I311" i="1"/>
  <c r="I181" i="1"/>
  <c r="D231" i="1"/>
  <c r="D229" i="1"/>
  <c r="D228" i="1"/>
  <c r="F50" i="1"/>
  <c r="H50" i="1" s="1"/>
  <c r="R253" i="1"/>
  <c r="R256" i="1"/>
  <c r="R90" i="1"/>
  <c r="D259" i="1"/>
  <c r="D262" i="1"/>
  <c r="D100" i="1"/>
  <c r="P259" i="1"/>
  <c r="P262" i="1"/>
  <c r="P100" i="1"/>
  <c r="AB259" i="1"/>
  <c r="AB262" i="1"/>
  <c r="AB100" i="1"/>
  <c r="H262" i="1"/>
  <c r="H259" i="1"/>
  <c r="F265" i="1"/>
  <c r="F268" i="1"/>
  <c r="R265" i="1"/>
  <c r="R268" i="1"/>
  <c r="H265" i="1"/>
  <c r="H268" i="1"/>
  <c r="H110" i="1"/>
  <c r="Z273" i="1"/>
  <c r="Z272" i="1"/>
  <c r="Z270" i="1"/>
  <c r="N271" i="1"/>
  <c r="N274" i="1"/>
  <c r="Z274" i="1"/>
  <c r="Z271" i="1"/>
  <c r="AC280" i="1"/>
  <c r="AC277" i="1"/>
  <c r="AC130" i="1"/>
  <c r="AA280" i="1"/>
  <c r="AA277" i="1"/>
  <c r="AA130" i="1"/>
  <c r="AC286" i="1"/>
  <c r="AC283" i="1"/>
  <c r="AC140" i="1"/>
  <c r="AC282" i="1" s="1"/>
  <c r="O286" i="1"/>
  <c r="O283" i="1"/>
  <c r="O140" i="1"/>
  <c r="O282" i="1" s="1"/>
  <c r="AA286" i="1"/>
  <c r="AA283" i="1"/>
  <c r="AA140" i="1"/>
  <c r="AA282" i="1" s="1"/>
  <c r="Y286" i="1"/>
  <c r="Y283" i="1"/>
  <c r="Y140" i="1"/>
  <c r="Y282" i="1" s="1"/>
  <c r="E293" i="1"/>
  <c r="E290" i="1"/>
  <c r="E151" i="1"/>
  <c r="Q290" i="1"/>
  <c r="Q293" i="1"/>
  <c r="Q151" i="1"/>
  <c r="AC290" i="1"/>
  <c r="AC293" i="1"/>
  <c r="AC151" i="1"/>
  <c r="D305" i="1"/>
  <c r="D302" i="1"/>
  <c r="D171" i="1"/>
  <c r="V308" i="1"/>
  <c r="V311" i="1"/>
  <c r="V181" i="1"/>
  <c r="J317" i="1"/>
  <c r="J314" i="1"/>
  <c r="J191" i="1"/>
  <c r="V317" i="1"/>
  <c r="V314" i="1"/>
  <c r="V191" i="1"/>
  <c r="I317" i="1"/>
  <c r="I314" i="1"/>
  <c r="I191" i="1"/>
  <c r="Y25" i="1"/>
  <c r="S256" i="1"/>
  <c r="S253" i="1"/>
  <c r="S90" i="1"/>
  <c r="X256" i="1"/>
  <c r="X253" i="1"/>
  <c r="AD262" i="1"/>
  <c r="AD259" i="1"/>
  <c r="D267" i="1"/>
  <c r="D264" i="1"/>
  <c r="D266" i="1"/>
  <c r="G268" i="1"/>
  <c r="G265" i="1"/>
  <c r="G110" i="1"/>
  <c r="P265" i="1"/>
  <c r="P268" i="1"/>
  <c r="AC271" i="1"/>
  <c r="AC274" i="1"/>
  <c r="AC120" i="1"/>
  <c r="AA271" i="1"/>
  <c r="AA274" i="1"/>
  <c r="AA120" i="1"/>
  <c r="D280" i="1"/>
  <c r="D277" i="1"/>
  <c r="D130" i="1"/>
  <c r="P280" i="1"/>
  <c r="P277" i="1"/>
  <c r="P130" i="1"/>
  <c r="AB280" i="1"/>
  <c r="AB277" i="1"/>
  <c r="AB130" i="1"/>
  <c r="H280" i="1"/>
  <c r="H277" i="1"/>
  <c r="H130" i="1"/>
  <c r="AB283" i="1"/>
  <c r="AB286" i="1"/>
  <c r="AB140" i="1"/>
  <c r="AB282" i="1" s="1"/>
  <c r="F293" i="1"/>
  <c r="F290" i="1"/>
  <c r="F151" i="1"/>
  <c r="P299" i="1"/>
  <c r="P296" i="1"/>
  <c r="P161" i="1"/>
  <c r="K299" i="1"/>
  <c r="K296" i="1"/>
  <c r="K161" i="1"/>
  <c r="AD302" i="1"/>
  <c r="AD171" i="1"/>
  <c r="AD305" i="1"/>
  <c r="Z311" i="1"/>
  <c r="Z308" i="1"/>
  <c r="Z181" i="1"/>
  <c r="X311" i="1"/>
  <c r="X308" i="1"/>
  <c r="X181" i="1"/>
  <c r="K317" i="1"/>
  <c r="K314" i="1"/>
  <c r="K191" i="1"/>
  <c r="W314" i="1"/>
  <c r="W317" i="1"/>
  <c r="W191" i="1"/>
  <c r="AA314" i="1"/>
  <c r="AA317" i="1"/>
  <c r="AA191" i="1"/>
  <c r="D323" i="1"/>
  <c r="D320" i="1"/>
  <c r="D201" i="1"/>
  <c r="P323" i="1"/>
  <c r="P320" i="1"/>
  <c r="P201" i="1"/>
  <c r="AB323" i="1"/>
  <c r="AB320" i="1"/>
  <c r="AB201" i="1"/>
  <c r="R222" i="1"/>
  <c r="R223" i="1"/>
  <c r="S234" i="1"/>
  <c r="S235" i="1"/>
  <c r="S237" i="1"/>
  <c r="V225" i="1"/>
  <c r="V25" i="1"/>
  <c r="V224" i="1"/>
  <c r="V223" i="1"/>
  <c r="V222" i="1"/>
  <c r="Z243" i="1"/>
  <c r="Z240" i="1"/>
  <c r="Z241" i="1"/>
  <c r="AB247" i="1"/>
  <c r="AB246" i="1"/>
  <c r="AB249" i="1"/>
  <c r="N253" i="1"/>
  <c r="N256" i="1"/>
  <c r="Y262" i="1"/>
  <c r="Y259" i="1"/>
  <c r="Y100" i="1"/>
  <c r="J285" i="1"/>
  <c r="J278" i="1"/>
  <c r="J276" i="1"/>
  <c r="J284" i="1"/>
  <c r="J279" i="1"/>
  <c r="U286" i="1"/>
  <c r="U283" i="1"/>
  <c r="U140" i="1"/>
  <c r="U282" i="1" s="1"/>
  <c r="Z290" i="1"/>
  <c r="Z151" i="1"/>
  <c r="Z293" i="1"/>
  <c r="M320" i="1"/>
  <c r="M323" i="1"/>
  <c r="M201" i="1"/>
  <c r="H225" i="1"/>
  <c r="H224" i="1"/>
  <c r="H25" i="1"/>
  <c r="L240" i="1"/>
  <c r="L243" i="1"/>
  <c r="L241" i="1"/>
  <c r="F258" i="1"/>
  <c r="F261" i="1"/>
  <c r="F260" i="1"/>
  <c r="F262" i="1"/>
  <c r="F259" i="1"/>
  <c r="R262" i="1"/>
  <c r="R259" i="1"/>
  <c r="L259" i="1"/>
  <c r="L262" i="1"/>
  <c r="L100" i="1"/>
  <c r="F110" i="1"/>
  <c r="T265" i="1"/>
  <c r="T268" i="1"/>
  <c r="T110" i="1"/>
  <c r="E277" i="1"/>
  <c r="E280" i="1"/>
  <c r="E130" i="1"/>
  <c r="Q280" i="1"/>
  <c r="Q277" i="1"/>
  <c r="Q130" i="1"/>
  <c r="AD280" i="1"/>
  <c r="AD277" i="1"/>
  <c r="AD130" i="1"/>
  <c r="L280" i="1"/>
  <c r="L277" i="1"/>
  <c r="L130" i="1"/>
  <c r="E283" i="1"/>
  <c r="E286" i="1"/>
  <c r="E140" i="1"/>
  <c r="E282" i="1" s="1"/>
  <c r="Q283" i="1"/>
  <c r="Q286" i="1"/>
  <c r="Q140" i="1"/>
  <c r="Q282" i="1" s="1"/>
  <c r="H283" i="1"/>
  <c r="H286" i="1"/>
  <c r="H140" i="1"/>
  <c r="H282" i="1" s="1"/>
  <c r="G290" i="1"/>
  <c r="G293" i="1"/>
  <c r="S290" i="1"/>
  <c r="S293" i="1"/>
  <c r="S151" i="1"/>
  <c r="D290" i="1"/>
  <c r="D293" i="1"/>
  <c r="D151" i="1"/>
  <c r="W299" i="1"/>
  <c r="W296" i="1"/>
  <c r="W161" i="1"/>
  <c r="Q299" i="1"/>
  <c r="Q296" i="1"/>
  <c r="Q161" i="1"/>
  <c r="V161" i="1"/>
  <c r="V296" i="1"/>
  <c r="V299" i="1"/>
  <c r="F171" i="1"/>
  <c r="F305" i="1"/>
  <c r="F302" i="1"/>
  <c r="G302" i="1"/>
  <c r="G305" i="1"/>
  <c r="G171" i="1"/>
  <c r="L317" i="1"/>
  <c r="L314" i="1"/>
  <c r="L191" i="1"/>
  <c r="E323" i="1"/>
  <c r="E320" i="1"/>
  <c r="N224" i="1"/>
  <c r="N225" i="1"/>
  <c r="R225" i="1"/>
  <c r="R224" i="1"/>
  <c r="R25" i="1"/>
  <c r="D247" i="1"/>
  <c r="D249" i="1"/>
  <c r="D246" i="1"/>
  <c r="F86" i="1"/>
  <c r="F87" i="1" s="1"/>
  <c r="F77" i="1" s="1"/>
  <c r="X252" i="1"/>
  <c r="X255" i="1"/>
  <c r="X254" i="1"/>
  <c r="Z259" i="1"/>
  <c r="Z262" i="1"/>
  <c r="Z100" i="1"/>
  <c r="M283" i="1"/>
  <c r="M286" i="1"/>
  <c r="M140" i="1"/>
  <c r="M282" i="1" s="1"/>
  <c r="F317" i="1"/>
  <c r="F314" i="1"/>
  <c r="F191" i="1"/>
  <c r="H234" i="1"/>
  <c r="H235" i="1"/>
  <c r="H237" i="1"/>
  <c r="L223" i="1"/>
  <c r="L222" i="1"/>
  <c r="I223" i="1"/>
  <c r="I222" i="1"/>
  <c r="D51" i="1"/>
  <c r="D41" i="1" s="1"/>
  <c r="G100" i="1"/>
  <c r="K259" i="1"/>
  <c r="K262" i="1"/>
  <c r="K100" i="1"/>
  <c r="T259" i="1"/>
  <c r="T262" i="1"/>
  <c r="N110" i="1"/>
  <c r="I265" i="1"/>
  <c r="I268" i="1"/>
  <c r="I110" i="1"/>
  <c r="AB265" i="1"/>
  <c r="AB268" i="1"/>
  <c r="AD274" i="1"/>
  <c r="AD271" i="1"/>
  <c r="AD120" i="1"/>
  <c r="D271" i="1"/>
  <c r="D274" i="1"/>
  <c r="D120" i="1"/>
  <c r="F280" i="1"/>
  <c r="F277" i="1"/>
  <c r="F130" i="1"/>
  <c r="R277" i="1"/>
  <c r="R280" i="1"/>
  <c r="R130" i="1"/>
  <c r="T280" i="1"/>
  <c r="T277" i="1"/>
  <c r="T130" i="1"/>
  <c r="F283" i="1"/>
  <c r="F286" i="1"/>
  <c r="R283" i="1"/>
  <c r="R286" i="1"/>
  <c r="T290" i="1"/>
  <c r="T293" i="1"/>
  <c r="T151" i="1"/>
  <c r="H293" i="1"/>
  <c r="H290" i="1"/>
  <c r="H151" i="1"/>
  <c r="L296" i="1"/>
  <c r="L299" i="1"/>
  <c r="L161" i="1"/>
  <c r="Y296" i="1"/>
  <c r="Y299" i="1"/>
  <c r="Y161" i="1"/>
  <c r="D311" i="1"/>
  <c r="D308" i="1"/>
  <c r="D181" i="1"/>
  <c r="P311" i="1"/>
  <c r="P308" i="1"/>
  <c r="AB311" i="1"/>
  <c r="AB308" i="1"/>
  <c r="AB181" i="1"/>
  <c r="Q314" i="1"/>
  <c r="Q317" i="1"/>
  <c r="Q191" i="1"/>
  <c r="AC314" i="1"/>
  <c r="AC317" i="1"/>
  <c r="AC191" i="1"/>
  <c r="Z224" i="1"/>
  <c r="Z225" i="1"/>
  <c r="O338" i="1"/>
  <c r="O336" i="1" s="1"/>
  <c r="O219" i="1"/>
  <c r="O216" i="1"/>
  <c r="O217" i="1"/>
  <c r="U222" i="1"/>
  <c r="U223" i="1"/>
  <c r="U237" i="1"/>
  <c r="U234" i="1"/>
  <c r="U235" i="1"/>
  <c r="W241" i="1"/>
  <c r="W243" i="1"/>
  <c r="W240" i="1"/>
  <c r="AA41" i="4"/>
  <c r="O42" i="4"/>
  <c r="K234" i="1"/>
  <c r="K235" i="1"/>
  <c r="K237" i="1"/>
  <c r="W234" i="1"/>
  <c r="W235" i="1"/>
  <c r="W237" i="1"/>
  <c r="P247" i="1"/>
  <c r="P246" i="1"/>
  <c r="P249" i="1"/>
  <c r="I86" i="1"/>
  <c r="I87" i="1" s="1"/>
  <c r="I77" i="1" s="1"/>
  <c r="AA256" i="1"/>
  <c r="AA253" i="1"/>
  <c r="AA90" i="1"/>
  <c r="H261" i="1"/>
  <c r="H260" i="1"/>
  <c r="H258" i="1"/>
  <c r="P110" i="1"/>
  <c r="J265" i="1"/>
  <c r="J268" i="1"/>
  <c r="J110" i="1"/>
  <c r="V265" i="1"/>
  <c r="V268" i="1"/>
  <c r="V110" i="1"/>
  <c r="K268" i="1"/>
  <c r="K265" i="1"/>
  <c r="K110" i="1"/>
  <c r="F271" i="1"/>
  <c r="F274" i="1"/>
  <c r="F120" i="1"/>
  <c r="R271" i="1"/>
  <c r="R274" i="1"/>
  <c r="R120" i="1"/>
  <c r="L274" i="1"/>
  <c r="L271" i="1"/>
  <c r="L120" i="1"/>
  <c r="G280" i="1"/>
  <c r="G277" i="1"/>
  <c r="G130" i="1"/>
  <c r="S280" i="1"/>
  <c r="S277" i="1"/>
  <c r="S130" i="1"/>
  <c r="K277" i="1"/>
  <c r="K280" i="1"/>
  <c r="K130" i="1"/>
  <c r="X277" i="1"/>
  <c r="X280" i="1"/>
  <c r="X130" i="1"/>
  <c r="S286" i="1"/>
  <c r="S283" i="1"/>
  <c r="S140" i="1"/>
  <c r="S282" i="1" s="1"/>
  <c r="G286" i="1"/>
  <c r="G283" i="1"/>
  <c r="G140" i="1"/>
  <c r="G282" i="1" s="1"/>
  <c r="I293" i="1"/>
  <c r="I290" i="1"/>
  <c r="I151" i="1"/>
  <c r="S298" i="1"/>
  <c r="S297" i="1"/>
  <c r="S295" i="1"/>
  <c r="M296" i="1"/>
  <c r="M299" i="1"/>
  <c r="M161" i="1"/>
  <c r="S299" i="1"/>
  <c r="S296" i="1"/>
  <c r="H305" i="1"/>
  <c r="H302" i="1"/>
  <c r="H171" i="1"/>
  <c r="J305" i="1"/>
  <c r="J302" i="1"/>
  <c r="J171" i="1"/>
  <c r="Q301" i="1"/>
  <c r="Q304" i="1"/>
  <c r="Q303" i="1"/>
  <c r="E308" i="1"/>
  <c r="E311" i="1"/>
  <c r="E181" i="1"/>
  <c r="Q308" i="1"/>
  <c r="Q311" i="1"/>
  <c r="Q181" i="1"/>
  <c r="J311" i="1"/>
  <c r="J308" i="1"/>
  <c r="J181" i="1"/>
  <c r="Z191" i="1"/>
  <c r="G323" i="1"/>
  <c r="G320" i="1"/>
  <c r="G201" i="1"/>
  <c r="X223" i="1"/>
  <c r="X222" i="1"/>
  <c r="T229" i="1"/>
  <c r="T231" i="1"/>
  <c r="T228" i="1"/>
  <c r="U229" i="1"/>
  <c r="U228" i="1"/>
  <c r="U231" i="1"/>
  <c r="G246" i="1"/>
  <c r="G249" i="1"/>
  <c r="G247" i="1"/>
  <c r="V249" i="1"/>
  <c r="V246" i="1"/>
  <c r="V247" i="1"/>
  <c r="U253" i="1"/>
  <c r="U256" i="1"/>
  <c r="U90" i="1"/>
  <c r="AD258" i="1"/>
  <c r="AD261" i="1"/>
  <c r="AD260" i="1"/>
  <c r="S262" i="1"/>
  <c r="S259" i="1"/>
  <c r="Q274" i="1"/>
  <c r="Q271" i="1"/>
  <c r="Q120" i="1"/>
  <c r="AA290" i="1"/>
  <c r="AA293" i="1"/>
  <c r="AA151" i="1"/>
  <c r="E299" i="1"/>
  <c r="E296" i="1"/>
  <c r="E161" i="1"/>
  <c r="O308" i="1"/>
  <c r="O311" i="1"/>
  <c r="O181" i="1"/>
  <c r="K225" i="1"/>
  <c r="K224" i="1"/>
  <c r="K25" i="1"/>
  <c r="W225" i="1"/>
  <c r="W224" i="1"/>
  <c r="W25" i="1"/>
  <c r="P231" i="1"/>
  <c r="P229" i="1"/>
  <c r="P228" i="1"/>
  <c r="L90" i="1"/>
  <c r="E253" i="1"/>
  <c r="E256" i="1"/>
  <c r="E90" i="1"/>
  <c r="M262" i="1"/>
  <c r="M259" i="1"/>
  <c r="M100" i="1"/>
  <c r="X259" i="1"/>
  <c r="X262" i="1"/>
  <c r="X100" i="1"/>
  <c r="R110" i="1"/>
  <c r="E271" i="1"/>
  <c r="E274" i="1"/>
  <c r="E120" i="1"/>
  <c r="P271" i="1"/>
  <c r="P274" i="1"/>
  <c r="P120" i="1"/>
  <c r="N299" i="1"/>
  <c r="N296" i="1"/>
  <c r="N161" i="1"/>
  <c r="T296" i="1"/>
  <c r="T299" i="1"/>
  <c r="T161" i="1"/>
  <c r="V305" i="1"/>
  <c r="V302" i="1"/>
  <c r="V171" i="1"/>
  <c r="F308" i="1"/>
  <c r="F311" i="1"/>
  <c r="F181" i="1"/>
  <c r="R308" i="1"/>
  <c r="R181" i="1"/>
  <c r="R311" i="1"/>
  <c r="AD311" i="1"/>
  <c r="AD308" i="1"/>
  <c r="AD181" i="1"/>
  <c r="T320" i="1"/>
  <c r="T323" i="1"/>
  <c r="T201" i="1"/>
  <c r="U293" i="1"/>
  <c r="U290" i="1"/>
  <c r="J293" i="1"/>
  <c r="J290" i="1"/>
  <c r="Z304" i="1"/>
  <c r="Z303" i="1"/>
  <c r="Z301" i="1"/>
  <c r="N305" i="1"/>
  <c r="N302" i="1"/>
  <c r="G310" i="1"/>
  <c r="G309" i="1"/>
  <c r="G307" i="1"/>
  <c r="P315" i="1"/>
  <c r="P316" i="1"/>
  <c r="P313" i="1"/>
  <c r="T317" i="1"/>
  <c r="T314" i="1"/>
  <c r="T191" i="1"/>
  <c r="V321" i="1"/>
  <c r="V322" i="1"/>
  <c r="V319" i="1"/>
  <c r="L323" i="1"/>
  <c r="L320" i="1"/>
  <c r="L201" i="1"/>
  <c r="N323" i="1"/>
  <c r="N320" i="1"/>
  <c r="N201" i="1"/>
  <c r="H309" i="1"/>
  <c r="H310" i="1"/>
  <c r="H307" i="1"/>
  <c r="Y317" i="1"/>
  <c r="Y314" i="1"/>
  <c r="W319" i="1"/>
  <c r="W321" i="1"/>
  <c r="W322" i="1"/>
  <c r="L290" i="1"/>
  <c r="L293" i="1"/>
  <c r="AB290" i="1"/>
  <c r="AB293" i="1"/>
  <c r="AB151" i="1"/>
  <c r="Z299" i="1"/>
  <c r="Z296" i="1"/>
  <c r="E305" i="1"/>
  <c r="E302" i="1"/>
  <c r="E171" i="1"/>
  <c r="K308" i="1"/>
  <c r="K311" i="1"/>
  <c r="K181" i="1"/>
  <c r="Q320" i="1"/>
  <c r="Q323" i="1"/>
  <c r="V320" i="1"/>
  <c r="V323" i="1"/>
  <c r="U151" i="1"/>
  <c r="Y290" i="1"/>
  <c r="Y293" i="1"/>
  <c r="I299" i="1"/>
  <c r="I296" i="1"/>
  <c r="T305" i="1"/>
  <c r="T302" i="1"/>
  <c r="T171" i="1"/>
  <c r="M308" i="1"/>
  <c r="M311" i="1"/>
  <c r="M181" i="1"/>
  <c r="Y316" i="1"/>
  <c r="Y315" i="1"/>
  <c r="Y313" i="1"/>
  <c r="H317" i="1"/>
  <c r="H314" i="1"/>
  <c r="AB314" i="1"/>
  <c r="AB317" i="1"/>
  <c r="O320" i="1"/>
  <c r="O201" i="1"/>
  <c r="O323" i="1"/>
  <c r="U320" i="1"/>
  <c r="U323" i="1"/>
  <c r="W320" i="1"/>
  <c r="W323" i="1"/>
  <c r="U295" i="1"/>
  <c r="U298" i="1"/>
  <c r="U297" i="1"/>
  <c r="U296" i="1"/>
  <c r="U299" i="1"/>
  <c r="N171" i="1"/>
  <c r="G308" i="1"/>
  <c r="G311" i="1"/>
  <c r="S308" i="1"/>
  <c r="S311" i="1"/>
  <c r="X317" i="1"/>
  <c r="X314" i="1"/>
  <c r="X191" i="1"/>
  <c r="AD317" i="1"/>
  <c r="AD314" i="1"/>
  <c r="AD191" i="1"/>
  <c r="AC323" i="1"/>
  <c r="AC320" i="1"/>
  <c r="AC201" i="1"/>
  <c r="AD323" i="1"/>
  <c r="AD201" i="1"/>
  <c r="AD320" i="1"/>
  <c r="Y151" i="1"/>
  <c r="X296" i="1"/>
  <c r="X299" i="1"/>
  <c r="S302" i="1"/>
  <c r="S305" i="1"/>
  <c r="S171" i="1"/>
  <c r="S181" i="1"/>
  <c r="H308" i="1"/>
  <c r="H311" i="1"/>
  <c r="T308" i="1"/>
  <c r="T311" i="1"/>
  <c r="L311" i="1"/>
  <c r="L308" i="1"/>
  <c r="L181" i="1"/>
  <c r="H191" i="1"/>
  <c r="AB191" i="1"/>
  <c r="H321" i="1"/>
  <c r="H319" i="1"/>
  <c r="H322" i="1"/>
  <c r="Z323" i="1"/>
  <c r="Z320" i="1"/>
  <c r="Z201" i="1"/>
  <c r="J151" i="1"/>
  <c r="X161" i="1"/>
  <c r="T181" i="1"/>
  <c r="Y308" i="1"/>
  <c r="Y311" i="1"/>
  <c r="Y181" i="1"/>
  <c r="I319" i="1"/>
  <c r="I321" i="1"/>
  <c r="I322" i="1"/>
  <c r="K320" i="1"/>
  <c r="K323" i="1"/>
  <c r="K201" i="1"/>
  <c r="L151" i="1"/>
  <c r="I161" i="1"/>
  <c r="U310" i="1"/>
  <c r="U307" i="1"/>
  <c r="U309" i="1"/>
  <c r="U308" i="1"/>
  <c r="U311" i="1"/>
  <c r="M317" i="1"/>
  <c r="M314" i="1"/>
  <c r="H323" i="1"/>
  <c r="H320" i="1"/>
  <c r="F323" i="1"/>
  <c r="F320" i="1"/>
  <c r="F201" i="1"/>
  <c r="D283" i="1"/>
  <c r="D286" i="1"/>
  <c r="P283" i="1"/>
  <c r="P286" i="1"/>
  <c r="Z161" i="1"/>
  <c r="J299" i="1"/>
  <c r="J161" i="1"/>
  <c r="J296" i="1"/>
  <c r="Q302" i="1"/>
  <c r="Q305" i="1"/>
  <c r="M316" i="1"/>
  <c r="M315" i="1"/>
  <c r="M313" i="1"/>
  <c r="P314" i="1"/>
  <c r="P317" i="1"/>
  <c r="R317" i="1"/>
  <c r="R314" i="1"/>
  <c r="R191" i="1"/>
  <c r="O314" i="1"/>
  <c r="O317" i="1"/>
  <c r="Q201" i="1"/>
  <c r="S320" i="1"/>
  <c r="S323" i="1"/>
  <c r="S201" i="1"/>
  <c r="I320" i="1"/>
  <c r="I323" i="1"/>
  <c r="Z305" i="1"/>
  <c r="Z302" i="1"/>
  <c r="O191" i="1"/>
  <c r="D314" i="1"/>
  <c r="D317" i="1"/>
  <c r="D191" i="1"/>
  <c r="U201" i="1"/>
  <c r="R320" i="1"/>
  <c r="R323" i="1"/>
  <c r="R201" i="1"/>
  <c r="AA323" i="1"/>
  <c r="AA320" i="1"/>
  <c r="AA201" i="1"/>
  <c r="D134" i="4"/>
  <c r="D75" i="4"/>
  <c r="D74" i="4" s="1"/>
  <c r="D78" i="4"/>
  <c r="D39" i="4"/>
  <c r="N354" i="1"/>
  <c r="Z354" i="1"/>
  <c r="F354" i="1"/>
  <c r="N346" i="1"/>
  <c r="Z346" i="1"/>
  <c r="W346" i="1"/>
  <c r="L77" i="3"/>
  <c r="K79" i="3"/>
  <c r="F85" i="4"/>
  <c r="F82" i="4"/>
  <c r="F51" i="4"/>
  <c r="D34" i="3"/>
  <c r="D40" i="3"/>
  <c r="H77" i="3"/>
  <c r="G79" i="3"/>
  <c r="K83" i="3"/>
  <c r="K85" i="3" s="1"/>
  <c r="J85" i="3"/>
  <c r="J346" i="1"/>
  <c r="V346" i="1"/>
  <c r="D54" i="3"/>
  <c r="D56" i="3" s="1"/>
  <c r="E46" i="3"/>
  <c r="X7" i="2"/>
  <c r="D6" i="2"/>
  <c r="X6" i="2" s="1"/>
  <c r="D11" i="3"/>
  <c r="I57" i="4"/>
  <c r="I59" i="4" s="1"/>
  <c r="I61" i="4" s="1"/>
  <c r="H57" i="4"/>
  <c r="H59" i="4" s="1"/>
  <c r="H61" i="4" s="1"/>
  <c r="G57" i="4"/>
  <c r="N57" i="4"/>
  <c r="N59" i="4" s="1"/>
  <c r="N61" i="4" s="1"/>
  <c r="M57" i="4"/>
  <c r="M59" i="4" s="1"/>
  <c r="M61" i="4" s="1"/>
  <c r="L57" i="4"/>
  <c r="L59" i="4" s="1"/>
  <c r="L61" i="4" s="1"/>
  <c r="K57" i="4"/>
  <c r="K59" i="4" s="1"/>
  <c r="K61" i="4" s="1"/>
  <c r="J57" i="4"/>
  <c r="J59" i="4" s="1"/>
  <c r="J61" i="4" s="1"/>
  <c r="I79" i="3"/>
  <c r="J79" i="3"/>
  <c r="I85" i="3"/>
  <c r="E85" i="4"/>
  <c r="E82" i="4"/>
  <c r="E51" i="4"/>
  <c r="L79" i="3"/>
  <c r="F78" i="4"/>
  <c r="F75" i="4"/>
  <c r="F134" i="4"/>
  <c r="F39" i="4"/>
  <c r="D73" i="3"/>
  <c r="N85" i="3"/>
  <c r="F106" i="4"/>
  <c r="F68" i="4"/>
  <c r="F15" i="4"/>
  <c r="F71" i="4"/>
  <c r="E359" i="4"/>
  <c r="E358" i="4" s="1"/>
  <c r="E161" i="4"/>
  <c r="F159" i="4" s="1"/>
  <c r="F160" i="4" s="1"/>
  <c r="E156" i="4"/>
  <c r="G6" i="2"/>
  <c r="E73" i="3"/>
  <c r="O83" i="3"/>
  <c r="O85" i="3" s="1"/>
  <c r="E262" i="4"/>
  <c r="E263" i="4" s="1"/>
  <c r="E73" i="4"/>
  <c r="E72" i="4"/>
  <c r="E16" i="4"/>
  <c r="E70" i="4"/>
  <c r="O57" i="4"/>
  <c r="O59" i="4" s="1"/>
  <c r="O61" i="4" s="1"/>
  <c r="X12" i="2"/>
  <c r="H79" i="3"/>
  <c r="D85" i="3"/>
  <c r="F262" i="4"/>
  <c r="F263" i="4" s="1"/>
  <c r="F73" i="4"/>
  <c r="F72" i="4"/>
  <c r="F69" i="4"/>
  <c r="F70" i="4"/>
  <c r="D20" i="3"/>
  <c r="D19" i="3" s="1"/>
  <c r="D25" i="3"/>
  <c r="D277" i="4"/>
  <c r="D278" i="4" s="1"/>
  <c r="D79" i="4"/>
  <c r="D76" i="4"/>
  <c r="D80" i="4"/>
  <c r="D77" i="4"/>
  <c r="D85" i="4"/>
  <c r="D82" i="4"/>
  <c r="D81" i="4" s="1"/>
  <c r="D51" i="4"/>
  <c r="E78" i="4"/>
  <c r="E75" i="4"/>
  <c r="E74" i="4" s="1"/>
  <c r="L85" i="3"/>
  <c r="D27" i="4"/>
  <c r="D123" i="4"/>
  <c r="D345" i="4" s="1"/>
  <c r="AN125" i="4"/>
  <c r="D106" i="4"/>
  <c r="D71" i="4"/>
  <c r="D67" i="4" s="1"/>
  <c r="D262" i="4"/>
  <c r="D263" i="4" s="1"/>
  <c r="D73" i="4"/>
  <c r="D72" i="4"/>
  <c r="E131" i="4"/>
  <c r="K73" i="3"/>
  <c r="E85" i="3"/>
  <c r="E277" i="4"/>
  <c r="E278" i="4" s="1"/>
  <c r="E76" i="4"/>
  <c r="E80" i="4"/>
  <c r="E79" i="4"/>
  <c r="L73" i="3"/>
  <c r="F277" i="4"/>
  <c r="F278" i="4" s="1"/>
  <c r="F80" i="4"/>
  <c r="F79" i="4"/>
  <c r="F77" i="4"/>
  <c r="F76" i="4"/>
  <c r="D292" i="4"/>
  <c r="D293" i="4" s="1"/>
  <c r="D87" i="4"/>
  <c r="D86" i="4"/>
  <c r="D84" i="4"/>
  <c r="D83" i="4"/>
  <c r="E89" i="4"/>
  <c r="E92" i="4"/>
  <c r="E292" i="4"/>
  <c r="E293" i="4" s="1"/>
  <c r="E87" i="4"/>
  <c r="E86" i="4"/>
  <c r="E84" i="4"/>
  <c r="E83" i="4"/>
  <c r="E100" i="4"/>
  <c r="E101" i="4" s="1"/>
  <c r="AI344" i="4"/>
  <c r="F292" i="4"/>
  <c r="F293" i="4" s="1"/>
  <c r="F87" i="4"/>
  <c r="F86" i="4"/>
  <c r="F84" i="4"/>
  <c r="F83" i="4"/>
  <c r="D15" i="4"/>
  <c r="AN110" i="4"/>
  <c r="D344" i="4"/>
  <c r="AN115" i="4"/>
  <c r="AN117" i="4"/>
  <c r="E177" i="4"/>
  <c r="E179" i="4"/>
  <c r="F175" i="4" s="1"/>
  <c r="F88" i="4"/>
  <c r="AN107" i="4"/>
  <c r="AN118" i="4"/>
  <c r="E174" i="4"/>
  <c r="E178" i="4"/>
  <c r="E148" i="4" s="1"/>
  <c r="Q174" i="4"/>
  <c r="AC174" i="4"/>
  <c r="D92" i="4"/>
  <c r="M93" i="4"/>
  <c r="L93" i="4"/>
  <c r="K93" i="4"/>
  <c r="J93" i="4"/>
  <c r="F174" i="4"/>
  <c r="AD174" i="4"/>
  <c r="L94" i="4"/>
  <c r="K94" i="4"/>
  <c r="J94" i="4"/>
  <c r="I94" i="4"/>
  <c r="I93" i="4"/>
  <c r="H94" i="4"/>
  <c r="G193" i="4"/>
  <c r="F197" i="4"/>
  <c r="M94" i="4"/>
  <c r="F166" i="4"/>
  <c r="F167" i="4" s="1"/>
  <c r="G165" i="4" s="1"/>
  <c r="M172" i="4"/>
  <c r="AN112" i="4"/>
  <c r="M133" i="4"/>
  <c r="L133" i="4"/>
  <c r="K133" i="4"/>
  <c r="J133" i="4"/>
  <c r="I133" i="4"/>
  <c r="L168" i="4"/>
  <c r="H168" i="4"/>
  <c r="H172" i="4"/>
  <c r="H173" i="4" s="1"/>
  <c r="I169" i="4" s="1"/>
  <c r="I173" i="4" s="1"/>
  <c r="J169" i="4" s="1"/>
  <c r="J173" i="4" s="1"/>
  <c r="K169" i="4" s="1"/>
  <c r="K173" i="4" s="1"/>
  <c r="L169" i="4" s="1"/>
  <c r="L173" i="4" s="1"/>
  <c r="M169" i="4" s="1"/>
  <c r="M173" i="4" s="1"/>
  <c r="N169" i="4" s="1"/>
  <c r="N173" i="4" s="1"/>
  <c r="O169" i="4" s="1"/>
  <c r="O173" i="4" s="1"/>
  <c r="P169" i="4" s="1"/>
  <c r="P173" i="4" s="1"/>
  <c r="Q169" i="4" s="1"/>
  <c r="Q173" i="4" s="1"/>
  <c r="R169" i="4" s="1"/>
  <c r="R173" i="4" s="1"/>
  <c r="S169" i="4" s="1"/>
  <c r="S173" i="4" s="1"/>
  <c r="T169" i="4" s="1"/>
  <c r="T173" i="4" s="1"/>
  <c r="U169" i="4" s="1"/>
  <c r="U173" i="4" s="1"/>
  <c r="V169" i="4" s="1"/>
  <c r="V173" i="4" s="1"/>
  <c r="T168" i="4"/>
  <c r="T172" i="4"/>
  <c r="N90" i="4"/>
  <c r="M91" i="4"/>
  <c r="H133" i="4"/>
  <c r="I168" i="4"/>
  <c r="I172" i="4"/>
  <c r="U168" i="4"/>
  <c r="U172" i="4"/>
  <c r="O184" i="4"/>
  <c r="O185" i="4" s="1"/>
  <c r="P181" i="4" s="1"/>
  <c r="D89" i="4"/>
  <c r="D88" i="4" s="1"/>
  <c r="O90" i="4"/>
  <c r="N91" i="4"/>
  <c r="N133" i="4"/>
  <c r="D174" i="4"/>
  <c r="I180" i="4"/>
  <c r="D304" i="4"/>
  <c r="O91" i="4"/>
  <c r="D359" i="4"/>
  <c r="D358" i="4" s="1"/>
  <c r="D148" i="4"/>
  <c r="F191" i="4"/>
  <c r="G187" i="4" s="1"/>
  <c r="G191" i="4" s="1"/>
  <c r="H187" i="4" s="1"/>
  <c r="H191" i="4" s="1"/>
  <c r="I187" i="4" s="1"/>
  <c r="I191" i="4" s="1"/>
  <c r="J187" i="4" s="1"/>
  <c r="J191" i="4" s="1"/>
  <c r="K187" i="4" s="1"/>
  <c r="K191" i="4" s="1"/>
  <c r="L187" i="4" s="1"/>
  <c r="L191" i="4" s="1"/>
  <c r="M187" i="4" s="1"/>
  <c r="M191" i="4" s="1"/>
  <c r="N187" i="4" s="1"/>
  <c r="N191" i="4" s="1"/>
  <c r="O187" i="4" s="1"/>
  <c r="O191" i="4" s="1"/>
  <c r="P187" i="4" s="1"/>
  <c r="D290" i="4"/>
  <c r="D280" i="4"/>
  <c r="D275" i="4"/>
  <c r="C376" i="4"/>
  <c r="C373" i="4" s="1"/>
  <c r="C371" i="4" s="1"/>
  <c r="J180" i="4"/>
  <c r="D270" i="4"/>
  <c r="D265" i="4"/>
  <c r="D264" i="4" s="1"/>
  <c r="J11" i="5"/>
  <c r="K41" i="4" s="1"/>
  <c r="I11" i="5"/>
  <c r="J41" i="4" s="1"/>
  <c r="H11" i="5"/>
  <c r="I41" i="4" s="1"/>
  <c r="G11" i="5"/>
  <c r="H41" i="4" s="1"/>
  <c r="F11" i="5"/>
  <c r="G41" i="4" s="1"/>
  <c r="E11" i="5"/>
  <c r="F41" i="4" s="1"/>
  <c r="D11" i="5"/>
  <c r="E41" i="4" s="1"/>
  <c r="C11" i="5"/>
  <c r="L11" i="5"/>
  <c r="M41" i="4" s="1"/>
  <c r="K11" i="5"/>
  <c r="L41" i="4" s="1"/>
  <c r="N335" i="4"/>
  <c r="N327" i="4"/>
  <c r="M329" i="4"/>
  <c r="N329" i="4"/>
  <c r="D314" i="4"/>
  <c r="D316" i="4" s="1"/>
  <c r="E306" i="4"/>
  <c r="I329" i="4"/>
  <c r="I335" i="4"/>
  <c r="I7" i="5"/>
  <c r="J17" i="4" s="1"/>
  <c r="B39" i="5"/>
  <c r="C43" i="4" s="1"/>
  <c r="J329" i="4"/>
  <c r="J335" i="4"/>
  <c r="M11" i="5"/>
  <c r="N41" i="4" s="1"/>
  <c r="E9" i="5"/>
  <c r="F7" i="5"/>
  <c r="G17" i="4" s="1"/>
  <c r="G7" i="5"/>
  <c r="H17" i="4" s="1"/>
  <c r="N9" i="5"/>
  <c r="B6" i="5"/>
  <c r="B8" i="5"/>
  <c r="D9" i="5" s="1"/>
  <c r="G41" i="5"/>
  <c r="B41" i="5" s="1"/>
  <c r="C45" i="4" s="1"/>
  <c r="M312" i="1" l="1"/>
  <c r="H306" i="1"/>
  <c r="M300" i="1"/>
  <c r="V150" i="1"/>
  <c r="S294" i="1"/>
  <c r="N89" i="1"/>
  <c r="X89" i="1"/>
  <c r="AD257" i="1"/>
  <c r="I74" i="1"/>
  <c r="K74" i="1" s="1"/>
  <c r="K75" i="1" s="1"/>
  <c r="K65" i="1" s="1"/>
  <c r="D244" i="1"/>
  <c r="Z263" i="1"/>
  <c r="R257" i="1"/>
  <c r="V288" i="1"/>
  <c r="G288" i="1"/>
  <c r="X251" i="1"/>
  <c r="N251" i="1"/>
  <c r="H62" i="1"/>
  <c r="J62" i="1" s="1"/>
  <c r="J63" i="1" s="1"/>
  <c r="J53" i="1" s="1"/>
  <c r="J233" i="1" s="1"/>
  <c r="I62" i="1"/>
  <c r="F51" i="1"/>
  <c r="F41" i="1" s="1"/>
  <c r="F227" i="1" s="1"/>
  <c r="I50" i="1"/>
  <c r="I51" i="1" s="1"/>
  <c r="I41" i="1" s="1"/>
  <c r="I230" i="1" s="1"/>
  <c r="I38" i="1"/>
  <c r="I39" i="1" s="1"/>
  <c r="I29" i="1" s="1"/>
  <c r="I221" i="1" s="1"/>
  <c r="I220" i="1" s="1"/>
  <c r="N415" i="1"/>
  <c r="N420" i="1" s="1"/>
  <c r="F220" i="1"/>
  <c r="H51" i="1"/>
  <c r="H41" i="1" s="1"/>
  <c r="J50" i="1"/>
  <c r="P185" i="4"/>
  <c r="Q181" i="4" s="1"/>
  <c r="P183" i="4"/>
  <c r="P184" i="4" s="1"/>
  <c r="F248" i="1"/>
  <c r="F245" i="1"/>
  <c r="D66" i="4"/>
  <c r="D98" i="4"/>
  <c r="D99" i="4" s="1"/>
  <c r="H242" i="1"/>
  <c r="H239" i="1"/>
  <c r="E53" i="4"/>
  <c r="Q53" i="4" s="1"/>
  <c r="AC53" i="4" s="1"/>
  <c r="E29" i="4"/>
  <c r="I245" i="1"/>
  <c r="I248" i="1"/>
  <c r="P295" i="1"/>
  <c r="P298" i="1"/>
  <c r="P297" i="1"/>
  <c r="K7" i="5"/>
  <c r="L17" i="4" s="1"/>
  <c r="H7" i="5"/>
  <c r="I17" i="4" s="1"/>
  <c r="E7" i="5"/>
  <c r="F17" i="4" s="1"/>
  <c r="N7" i="5"/>
  <c r="O17" i="4" s="1"/>
  <c r="C18" i="4"/>
  <c r="G18" i="4" s="1"/>
  <c r="G20" i="4" s="1"/>
  <c r="J7" i="5"/>
  <c r="K17" i="4" s="1"/>
  <c r="F42" i="4"/>
  <c r="R41" i="4"/>
  <c r="G162" i="4"/>
  <c r="D12" i="3"/>
  <c r="E81" i="4"/>
  <c r="E102" i="4" s="1"/>
  <c r="E103" i="4" s="1"/>
  <c r="N307" i="4"/>
  <c r="N308" i="4" s="1"/>
  <c r="N94" i="4"/>
  <c r="N64" i="4"/>
  <c r="N52" i="4"/>
  <c r="O316" i="1"/>
  <c r="O315" i="1"/>
  <c r="O313" i="1"/>
  <c r="Z295" i="1"/>
  <c r="Z297" i="1"/>
  <c r="Z298" i="1"/>
  <c r="I318" i="1"/>
  <c r="O310" i="1"/>
  <c r="O307" i="1"/>
  <c r="O309" i="1"/>
  <c r="E310" i="1"/>
  <c r="E307" i="1"/>
  <c r="E309" i="1"/>
  <c r="H257" i="1"/>
  <c r="H291" i="1"/>
  <c r="H289" i="1"/>
  <c r="H292" i="1"/>
  <c r="H150" i="1"/>
  <c r="G258" i="1"/>
  <c r="G261" i="1"/>
  <c r="G260" i="1"/>
  <c r="H264" i="1"/>
  <c r="H267" i="1"/>
  <c r="H266" i="1"/>
  <c r="P260" i="1"/>
  <c r="P258" i="1"/>
  <c r="P261" i="1"/>
  <c r="G298" i="1"/>
  <c r="G297" i="1"/>
  <c r="G295" i="1"/>
  <c r="N289" i="1"/>
  <c r="N292" i="1"/>
  <c r="N291" i="1"/>
  <c r="N150" i="1"/>
  <c r="P291" i="1"/>
  <c r="P292" i="1"/>
  <c r="P289" i="1"/>
  <c r="P150" i="1"/>
  <c r="E318" i="1"/>
  <c r="U273" i="1"/>
  <c r="U272" i="1"/>
  <c r="U270" i="1"/>
  <c r="P303" i="1"/>
  <c r="P301" i="1"/>
  <c r="P304" i="1"/>
  <c r="G230" i="1"/>
  <c r="G227" i="1"/>
  <c r="P306" i="1"/>
  <c r="H86" i="1"/>
  <c r="D338" i="1"/>
  <c r="D336" i="1" s="1"/>
  <c r="D216" i="1"/>
  <c r="D415" i="1" s="1"/>
  <c r="D217" i="1"/>
  <c r="D27" i="1"/>
  <c r="D17" i="1" s="1"/>
  <c r="F26" i="1"/>
  <c r="H26" i="1" s="1"/>
  <c r="J26" i="1" s="1"/>
  <c r="D219" i="1"/>
  <c r="X307" i="1"/>
  <c r="X309" i="1"/>
  <c r="X310" i="1"/>
  <c r="AD289" i="1"/>
  <c r="AD292" i="1"/>
  <c r="AD291" i="1"/>
  <c r="AD150" i="1"/>
  <c r="O29" i="4"/>
  <c r="O53" i="4"/>
  <c r="AA53" i="4" s="1"/>
  <c r="AM53" i="4" s="1"/>
  <c r="G42" i="4"/>
  <c r="G44" i="4" s="1"/>
  <c r="S41" i="4"/>
  <c r="F162" i="4"/>
  <c r="E16" i="3"/>
  <c r="D24" i="3"/>
  <c r="G59" i="4"/>
  <c r="AN57" i="4"/>
  <c r="Y309" i="1"/>
  <c r="Y307" i="1"/>
  <c r="Y310" i="1"/>
  <c r="AB315" i="1"/>
  <c r="AB313" i="1"/>
  <c r="AB316" i="1"/>
  <c r="W318" i="1"/>
  <c r="V318" i="1"/>
  <c r="AD309" i="1"/>
  <c r="AD307" i="1"/>
  <c r="AD310" i="1"/>
  <c r="T298" i="1"/>
  <c r="T297" i="1"/>
  <c r="T295" i="1"/>
  <c r="R266" i="1"/>
  <c r="R267" i="1"/>
  <c r="R264" i="1"/>
  <c r="R284" i="1"/>
  <c r="R279" i="1"/>
  <c r="R278" i="1"/>
  <c r="R276" i="1"/>
  <c r="R285" i="1"/>
  <c r="F304" i="1"/>
  <c r="F303" i="1"/>
  <c r="F301" i="1"/>
  <c r="E284" i="1"/>
  <c r="E279" i="1"/>
  <c r="E278" i="1"/>
  <c r="E285" i="1"/>
  <c r="E276" i="1"/>
  <c r="H338" i="1"/>
  <c r="H336" i="1" s="1"/>
  <c r="H217" i="1"/>
  <c r="H219" i="1"/>
  <c r="H216" i="1"/>
  <c r="H415" i="1" s="1"/>
  <c r="H17" i="1"/>
  <c r="P319" i="1"/>
  <c r="P322" i="1"/>
  <c r="P321" i="1"/>
  <c r="K316" i="1"/>
  <c r="K315" i="1"/>
  <c r="K313" i="1"/>
  <c r="K298" i="1"/>
  <c r="K297" i="1"/>
  <c r="K295" i="1"/>
  <c r="H279" i="1"/>
  <c r="H278" i="1"/>
  <c r="H284" i="1"/>
  <c r="H276" i="1"/>
  <c r="H285" i="1"/>
  <c r="AA273" i="1"/>
  <c r="AA272" i="1"/>
  <c r="AA270" i="1"/>
  <c r="D263" i="1"/>
  <c r="U316" i="1"/>
  <c r="U315" i="1"/>
  <c r="U313" i="1"/>
  <c r="F298" i="1"/>
  <c r="F297" i="1"/>
  <c r="F295" i="1"/>
  <c r="Y284" i="1"/>
  <c r="Y276" i="1"/>
  <c r="Y285" i="1"/>
  <c r="Y279" i="1"/>
  <c r="Y278" i="1"/>
  <c r="Q254" i="1"/>
  <c r="Q252" i="1"/>
  <c r="Q255" i="1"/>
  <c r="Q89" i="1"/>
  <c r="AD263" i="1"/>
  <c r="O214" i="1"/>
  <c r="AC266" i="1"/>
  <c r="AC264" i="1"/>
  <c r="AC267" i="1"/>
  <c r="E227" i="1"/>
  <c r="E230" i="1"/>
  <c r="Y264" i="1"/>
  <c r="Y267" i="1"/>
  <c r="Y266" i="1"/>
  <c r="G233" i="1"/>
  <c r="G236" i="1"/>
  <c r="AC338" i="1"/>
  <c r="AC336" i="1" s="1"/>
  <c r="AC219" i="1"/>
  <c r="AC217" i="1"/>
  <c r="AC216" i="1"/>
  <c r="AC415" i="1" s="1"/>
  <c r="AC17" i="1"/>
  <c r="H38" i="1"/>
  <c r="I304" i="1"/>
  <c r="I301" i="1"/>
  <c r="I303" i="1"/>
  <c r="I279" i="1"/>
  <c r="I278" i="1"/>
  <c r="I276" i="1"/>
  <c r="I284" i="1"/>
  <c r="I285" i="1"/>
  <c r="Y252" i="1"/>
  <c r="Y255" i="1"/>
  <c r="Y254" i="1"/>
  <c r="Y89" i="1"/>
  <c r="Y292" i="1"/>
  <c r="Y291" i="1"/>
  <c r="Y289" i="1"/>
  <c r="Y150" i="1"/>
  <c r="T17" i="4"/>
  <c r="E387" i="4"/>
  <c r="E386" i="4" s="1"/>
  <c r="H307" i="4"/>
  <c r="H308" i="4" s="1"/>
  <c r="H90" i="4"/>
  <c r="H52" i="4"/>
  <c r="H135" i="4" s="1"/>
  <c r="H93" i="4"/>
  <c r="H91" i="4"/>
  <c r="H64" i="4"/>
  <c r="AA322" i="1"/>
  <c r="AA321" i="1"/>
  <c r="AA319" i="1"/>
  <c r="H313" i="1"/>
  <c r="H315" i="1"/>
  <c r="H316" i="1"/>
  <c r="X315" i="1"/>
  <c r="X313" i="1"/>
  <c r="X316" i="1"/>
  <c r="U294" i="1"/>
  <c r="Y312" i="1"/>
  <c r="X260" i="1"/>
  <c r="X258" i="1"/>
  <c r="X261" i="1"/>
  <c r="G322" i="1"/>
  <c r="G321" i="1"/>
  <c r="G319" i="1"/>
  <c r="M295" i="1"/>
  <c r="M297" i="1"/>
  <c r="M298" i="1"/>
  <c r="G278" i="1"/>
  <c r="G279" i="1"/>
  <c r="G276" i="1"/>
  <c r="G285" i="1"/>
  <c r="G284" i="1"/>
  <c r="K264" i="1"/>
  <c r="K267" i="1"/>
  <c r="K266" i="1"/>
  <c r="S292" i="1"/>
  <c r="S291" i="1"/>
  <c r="S289" i="1"/>
  <c r="S150" i="1"/>
  <c r="V313" i="1"/>
  <c r="V316" i="1"/>
  <c r="V315" i="1"/>
  <c r="AC150" i="1"/>
  <c r="AC289" i="1"/>
  <c r="AC291" i="1"/>
  <c r="AC292" i="1"/>
  <c r="AC285" i="1"/>
  <c r="AC284" i="1"/>
  <c r="AC279" i="1"/>
  <c r="AC278" i="1"/>
  <c r="AC276" i="1"/>
  <c r="V273" i="1"/>
  <c r="V272" i="1"/>
  <c r="V270" i="1"/>
  <c r="T338" i="1"/>
  <c r="T336" i="1" s="1"/>
  <c r="T217" i="1"/>
  <c r="T17" i="1"/>
  <c r="T219" i="1"/>
  <c r="T216" i="1"/>
  <c r="T415" i="1" s="1"/>
  <c r="G313" i="1"/>
  <c r="G315" i="1"/>
  <c r="G316" i="1"/>
  <c r="Y272" i="1"/>
  <c r="Y273" i="1"/>
  <c r="Y270" i="1"/>
  <c r="W264" i="1"/>
  <c r="W267" i="1"/>
  <c r="W266" i="1"/>
  <c r="K304" i="1"/>
  <c r="K303" i="1"/>
  <c r="K301" i="1"/>
  <c r="M292" i="1"/>
  <c r="M289" i="1"/>
  <c r="M291" i="1"/>
  <c r="M150" i="1"/>
  <c r="O285" i="1"/>
  <c r="O278" i="1"/>
  <c r="O279" i="1"/>
  <c r="O284" i="1"/>
  <c r="O276" i="1"/>
  <c r="G254" i="1"/>
  <c r="G252" i="1"/>
  <c r="G255" i="1"/>
  <c r="G89" i="1"/>
  <c r="X264" i="1"/>
  <c r="X267" i="1"/>
  <c r="X266" i="1"/>
  <c r="T252" i="1"/>
  <c r="T255" i="1"/>
  <c r="T254" i="1"/>
  <c r="T89" i="1"/>
  <c r="G220" i="1"/>
  <c r="AB255" i="1"/>
  <c r="AB254" i="1"/>
  <c r="AB252" i="1"/>
  <c r="AB89" i="1"/>
  <c r="K252" i="1"/>
  <c r="K255" i="1"/>
  <c r="K254" i="1"/>
  <c r="K89" i="1"/>
  <c r="E338" i="1"/>
  <c r="E336" i="1" s="1"/>
  <c r="E219" i="1"/>
  <c r="E217" i="1"/>
  <c r="G26" i="1"/>
  <c r="G27" i="1" s="1"/>
  <c r="E216" i="1"/>
  <c r="E415" i="1" s="1"/>
  <c r="E27" i="1"/>
  <c r="E17" i="1"/>
  <c r="Z215" i="1"/>
  <c r="Z218" i="1"/>
  <c r="AC310" i="1"/>
  <c r="AC309" i="1"/>
  <c r="AC307" i="1"/>
  <c r="J254" i="1"/>
  <c r="J255" i="1"/>
  <c r="J252" i="1"/>
  <c r="J89" i="1"/>
  <c r="V261" i="1"/>
  <c r="V258" i="1"/>
  <c r="V260" i="1"/>
  <c r="J338" i="1"/>
  <c r="J336" i="1" s="1"/>
  <c r="J219" i="1"/>
  <c r="J216" i="1"/>
  <c r="J415" i="1" s="1"/>
  <c r="J217" i="1"/>
  <c r="J17" i="1"/>
  <c r="H42" i="4"/>
  <c r="H44" i="4" s="1"/>
  <c r="H46" i="4" s="1"/>
  <c r="H48" i="4" s="1"/>
  <c r="T41" i="4"/>
  <c r="S17" i="4"/>
  <c r="I42" i="4"/>
  <c r="I44" i="4" s="1"/>
  <c r="I46" i="4" s="1"/>
  <c r="I48" i="4" s="1"/>
  <c r="U41" i="4"/>
  <c r="O180" i="4"/>
  <c r="D102" i="4"/>
  <c r="D103" i="4" s="1"/>
  <c r="O307" i="4"/>
  <c r="O308" i="4" s="1"/>
  <c r="O93" i="4"/>
  <c r="O64" i="4"/>
  <c r="O52" i="4"/>
  <c r="F161" i="4"/>
  <c r="F148" i="4"/>
  <c r="F156" i="4"/>
  <c r="I307" i="4"/>
  <c r="I308" i="4" s="1"/>
  <c r="I52" i="4"/>
  <c r="I64" i="4"/>
  <c r="I91" i="4"/>
  <c r="I90" i="4"/>
  <c r="U306" i="1"/>
  <c r="L307" i="1"/>
  <c r="L309" i="1"/>
  <c r="L310" i="1"/>
  <c r="U291" i="1"/>
  <c r="U289" i="1"/>
  <c r="U292" i="1"/>
  <c r="U150" i="1"/>
  <c r="Z300" i="1"/>
  <c r="E298" i="1"/>
  <c r="E297" i="1"/>
  <c r="E295" i="1"/>
  <c r="AA255" i="1"/>
  <c r="AA254" i="1"/>
  <c r="AA252" i="1"/>
  <c r="AA89" i="1"/>
  <c r="D307" i="1"/>
  <c r="D310" i="1"/>
  <c r="D309" i="1"/>
  <c r="T292" i="1"/>
  <c r="T291" i="1"/>
  <c r="T289" i="1"/>
  <c r="T150" i="1"/>
  <c r="I264" i="1"/>
  <c r="I267" i="1"/>
  <c r="I266" i="1"/>
  <c r="D227" i="1"/>
  <c r="D230" i="1"/>
  <c r="J275" i="1"/>
  <c r="D261" i="1"/>
  <c r="D258" i="1"/>
  <c r="D260" i="1"/>
  <c r="X304" i="1"/>
  <c r="X303" i="1"/>
  <c r="X301" i="1"/>
  <c r="G150" i="1"/>
  <c r="I273" i="1"/>
  <c r="I272" i="1"/>
  <c r="I270" i="1"/>
  <c r="AD298" i="1"/>
  <c r="AD297" i="1"/>
  <c r="AD295" i="1"/>
  <c r="T272" i="1"/>
  <c r="T270" i="1"/>
  <c r="T273" i="1"/>
  <c r="AD338" i="1"/>
  <c r="AD336" i="1" s="1"/>
  <c r="AD217" i="1"/>
  <c r="AD219" i="1"/>
  <c r="AD216" i="1"/>
  <c r="AD415" i="1" s="1"/>
  <c r="AD17" i="1"/>
  <c r="E248" i="1"/>
  <c r="E245" i="1"/>
  <c r="U218" i="1"/>
  <c r="U215" i="1"/>
  <c r="V41" i="4"/>
  <c r="J42" i="4"/>
  <c r="J44" i="4" s="1"/>
  <c r="J46" i="4" s="1"/>
  <c r="J48" i="4" s="1"/>
  <c r="F276" i="1"/>
  <c r="F285" i="1"/>
  <c r="F279" i="1"/>
  <c r="F284" i="1"/>
  <c r="F278" i="1"/>
  <c r="Z285" i="1"/>
  <c r="Z284" i="1"/>
  <c r="Z276" i="1"/>
  <c r="Z279" i="1"/>
  <c r="Z278" i="1"/>
  <c r="X298" i="1"/>
  <c r="X295" i="1"/>
  <c r="X297" i="1"/>
  <c r="F257" i="1"/>
  <c r="X319" i="1"/>
  <c r="X321" i="1"/>
  <c r="X322" i="1"/>
  <c r="AA267" i="1"/>
  <c r="AA266" i="1"/>
  <c r="AA264" i="1"/>
  <c r="R298" i="1"/>
  <c r="R297" i="1"/>
  <c r="R295" i="1"/>
  <c r="I252" i="1"/>
  <c r="I254" i="1"/>
  <c r="I255" i="1"/>
  <c r="I89" i="1"/>
  <c r="U301" i="1"/>
  <c r="U303" i="1"/>
  <c r="U304" i="1"/>
  <c r="AC254" i="1"/>
  <c r="AC252" i="1"/>
  <c r="AC255" i="1"/>
  <c r="AC89" i="1"/>
  <c r="L291" i="1"/>
  <c r="L289" i="1"/>
  <c r="L292" i="1"/>
  <c r="L150" i="1"/>
  <c r="J289" i="1"/>
  <c r="J292" i="1"/>
  <c r="J291" i="1"/>
  <c r="J150" i="1"/>
  <c r="AD321" i="1"/>
  <c r="AD319" i="1"/>
  <c r="AD322" i="1"/>
  <c r="W338" i="1"/>
  <c r="W336" i="1" s="1"/>
  <c r="W217" i="1"/>
  <c r="W216" i="1"/>
  <c r="W415" i="1" s="1"/>
  <c r="W219" i="1"/>
  <c r="W17" i="1"/>
  <c r="AA289" i="1"/>
  <c r="AA292" i="1"/>
  <c r="AA291" i="1"/>
  <c r="AA150" i="1"/>
  <c r="J309" i="1"/>
  <c r="J310" i="1"/>
  <c r="J307" i="1"/>
  <c r="J301" i="1"/>
  <c r="J304" i="1"/>
  <c r="J303" i="1"/>
  <c r="O44" i="4"/>
  <c r="O46" i="4" s="1"/>
  <c r="O48" i="4" s="1"/>
  <c r="Y297" i="1"/>
  <c r="Y295" i="1"/>
  <c r="Y298" i="1"/>
  <c r="N267" i="1"/>
  <c r="N266" i="1"/>
  <c r="N264" i="1"/>
  <c r="Y260" i="1"/>
  <c r="Y258" i="1"/>
  <c r="Y261" i="1"/>
  <c r="R254" i="1"/>
  <c r="R252" i="1"/>
  <c r="R255" i="1"/>
  <c r="R89" i="1"/>
  <c r="I309" i="1"/>
  <c r="I307" i="1"/>
  <c r="I310" i="1"/>
  <c r="L7" i="5"/>
  <c r="M17" i="4" s="1"/>
  <c r="L304" i="1"/>
  <c r="L303" i="1"/>
  <c r="L301" i="1"/>
  <c r="U264" i="1"/>
  <c r="U267" i="1"/>
  <c r="U266" i="1"/>
  <c r="Q219" i="1"/>
  <c r="Q338" i="1"/>
  <c r="Q336" i="1" s="1"/>
  <c r="Q216" i="1"/>
  <c r="Q415" i="1" s="1"/>
  <c r="Q217" i="1"/>
  <c r="Q17" i="1"/>
  <c r="N307" i="1"/>
  <c r="N309" i="1"/>
  <c r="N310" i="1"/>
  <c r="Y319" i="1"/>
  <c r="Y321" i="1"/>
  <c r="Y322" i="1"/>
  <c r="AA298" i="1"/>
  <c r="AA295" i="1"/>
  <c r="AA297" i="1"/>
  <c r="L264" i="1"/>
  <c r="L267" i="1"/>
  <c r="L266" i="1"/>
  <c r="P255" i="1"/>
  <c r="P252" i="1"/>
  <c r="P254" i="1"/>
  <c r="P89" i="1"/>
  <c r="AB338" i="1"/>
  <c r="AB336" i="1" s="1"/>
  <c r="AB216" i="1"/>
  <c r="AB415" i="1" s="1"/>
  <c r="AB217" i="1"/>
  <c r="AB219" i="1"/>
  <c r="AB17" i="1"/>
  <c r="G338" i="1"/>
  <c r="G336" i="1" s="1"/>
  <c r="G217" i="1"/>
  <c r="G219" i="1"/>
  <c r="G216" i="1"/>
  <c r="G415" i="1" s="1"/>
  <c r="G17" i="1"/>
  <c r="U415" i="1"/>
  <c r="V17" i="4"/>
  <c r="J18" i="4"/>
  <c r="J20" i="4" s="1"/>
  <c r="J22" i="4" s="1"/>
  <c r="J24" i="4" s="1"/>
  <c r="G197" i="4"/>
  <c r="H193" i="4" s="1"/>
  <c r="G195" i="4"/>
  <c r="T309" i="1"/>
  <c r="T307" i="1"/>
  <c r="T310" i="1"/>
  <c r="F313" i="1"/>
  <c r="F315" i="1"/>
  <c r="F316" i="1"/>
  <c r="T264" i="1"/>
  <c r="T266" i="1"/>
  <c r="T267" i="1"/>
  <c r="D319" i="1"/>
  <c r="D322" i="1"/>
  <c r="D321" i="1"/>
  <c r="N258" i="1"/>
  <c r="N260" i="1"/>
  <c r="N261" i="1"/>
  <c r="F74" i="4"/>
  <c r="F100" i="4" s="1"/>
  <c r="F101" i="4" s="1"/>
  <c r="R321" i="1"/>
  <c r="R322" i="1"/>
  <c r="R319" i="1"/>
  <c r="Q300" i="1"/>
  <c r="Q298" i="1"/>
  <c r="Q297" i="1"/>
  <c r="Q295" i="1"/>
  <c r="J313" i="1"/>
  <c r="J316" i="1"/>
  <c r="J315" i="1"/>
  <c r="H273" i="1"/>
  <c r="H270" i="1"/>
  <c r="H272" i="1"/>
  <c r="D269" i="4"/>
  <c r="E261" i="4"/>
  <c r="O133" i="4"/>
  <c r="N135" i="4"/>
  <c r="G166" i="4"/>
  <c r="G167" i="4" s="1"/>
  <c r="H165" i="4" s="1"/>
  <c r="F341" i="4"/>
  <c r="F139" i="4"/>
  <c r="F346" i="4" s="1"/>
  <c r="F10" i="4"/>
  <c r="F322" i="4" s="1"/>
  <c r="K319" i="1"/>
  <c r="K321" i="1"/>
  <c r="K322" i="1"/>
  <c r="Z319" i="1"/>
  <c r="Z321" i="1"/>
  <c r="Z322" i="1"/>
  <c r="N319" i="1"/>
  <c r="N322" i="1"/>
  <c r="N321" i="1"/>
  <c r="P312" i="1"/>
  <c r="F309" i="1"/>
  <c r="F307" i="1"/>
  <c r="F310" i="1"/>
  <c r="P273" i="1"/>
  <c r="P272" i="1"/>
  <c r="P270" i="1"/>
  <c r="AM41" i="4"/>
  <c r="AM42" i="4" s="1"/>
  <c r="AM44" i="4" s="1"/>
  <c r="AM46" i="4" s="1"/>
  <c r="AM48" i="4" s="1"/>
  <c r="AA42" i="4"/>
  <c r="AA44" i="4" s="1"/>
  <c r="AA46" i="4" s="1"/>
  <c r="AA48" i="4" s="1"/>
  <c r="Q316" i="1"/>
  <c r="Q313" i="1"/>
  <c r="Q315" i="1"/>
  <c r="D270" i="1"/>
  <c r="D272" i="1"/>
  <c r="D273" i="1"/>
  <c r="AD285" i="1"/>
  <c r="AD284" i="1"/>
  <c r="AD279" i="1"/>
  <c r="AD278" i="1"/>
  <c r="AD276" i="1"/>
  <c r="F266" i="1"/>
  <c r="F264" i="1"/>
  <c r="F267" i="1"/>
  <c r="AA313" i="1"/>
  <c r="AA315" i="1"/>
  <c r="AA316" i="1"/>
  <c r="Z307" i="1"/>
  <c r="Z309" i="1"/>
  <c r="Z310" i="1"/>
  <c r="F292" i="1"/>
  <c r="F289" i="1"/>
  <c r="F291" i="1"/>
  <c r="F150" i="1"/>
  <c r="P279" i="1"/>
  <c r="P285" i="1"/>
  <c r="P284" i="1"/>
  <c r="P276" i="1"/>
  <c r="P278" i="1"/>
  <c r="S254" i="1"/>
  <c r="S252" i="1"/>
  <c r="S255" i="1"/>
  <c r="S89" i="1"/>
  <c r="O304" i="1"/>
  <c r="O303" i="1"/>
  <c r="O301" i="1"/>
  <c r="N284" i="1"/>
  <c r="N278" i="1"/>
  <c r="N285" i="1"/>
  <c r="N279" i="1"/>
  <c r="N276" i="1"/>
  <c r="U261" i="1"/>
  <c r="U260" i="1"/>
  <c r="U258" i="1"/>
  <c r="N269" i="1"/>
  <c r="R292" i="1"/>
  <c r="R291" i="1"/>
  <c r="R289" i="1"/>
  <c r="R150" i="1"/>
  <c r="W260" i="1"/>
  <c r="W258" i="1"/>
  <c r="W261" i="1"/>
  <c r="AB263" i="1"/>
  <c r="Z415" i="1"/>
  <c r="G248" i="1"/>
  <c r="G245" i="1"/>
  <c r="S257" i="1"/>
  <c r="AC258" i="1"/>
  <c r="AC261" i="1"/>
  <c r="AC260" i="1"/>
  <c r="D220" i="1"/>
  <c r="G242" i="1"/>
  <c r="G239" i="1"/>
  <c r="M264" i="1"/>
  <c r="M266" i="1"/>
  <c r="M267" i="1"/>
  <c r="E239" i="1"/>
  <c r="E242" i="1"/>
  <c r="S322" i="1"/>
  <c r="S321" i="1"/>
  <c r="S319" i="1"/>
  <c r="Z315" i="1"/>
  <c r="Z313" i="1"/>
  <c r="Z316" i="1"/>
  <c r="L273" i="1"/>
  <c r="L272" i="1"/>
  <c r="L270" i="1"/>
  <c r="L315" i="1"/>
  <c r="L313" i="1"/>
  <c r="L316" i="1"/>
  <c r="AA310" i="1"/>
  <c r="AA309" i="1"/>
  <c r="AA307" i="1"/>
  <c r="P338" i="1"/>
  <c r="P336" i="1" s="1"/>
  <c r="P219" i="1"/>
  <c r="P216" i="1"/>
  <c r="P415" i="1" s="1"/>
  <c r="P217" i="1"/>
  <c r="P17" i="1"/>
  <c r="E305" i="4"/>
  <c r="E310" i="4"/>
  <c r="X41" i="4"/>
  <c r="L42" i="4"/>
  <c r="L44" i="4" s="1"/>
  <c r="L46" i="4" s="1"/>
  <c r="L48" i="4" s="1"/>
  <c r="D285" i="4"/>
  <c r="D279" i="4"/>
  <c r="M135" i="4"/>
  <c r="E123" i="4"/>
  <c r="E345" i="4" s="1"/>
  <c r="F67" i="4"/>
  <c r="J307" i="4"/>
  <c r="J308" i="4" s="1"/>
  <c r="J52" i="4"/>
  <c r="J64" i="4"/>
  <c r="J90" i="4"/>
  <c r="J91" i="4"/>
  <c r="D41" i="2"/>
  <c r="E5" i="2" s="1"/>
  <c r="E41" i="2" s="1"/>
  <c r="F5" i="2" s="1"/>
  <c r="F41" i="2" s="1"/>
  <c r="G5" i="2" s="1"/>
  <c r="G41" i="2" s="1"/>
  <c r="H5" i="2" s="1"/>
  <c r="H41" i="2" s="1"/>
  <c r="I5" i="2" s="1"/>
  <c r="I41" i="2" s="1"/>
  <c r="J5" i="2" s="1"/>
  <c r="J41" i="2" s="1"/>
  <c r="K5" i="2" s="1"/>
  <c r="K41" i="2" s="1"/>
  <c r="L5" i="2" s="1"/>
  <c r="L41" i="2" s="1"/>
  <c r="M5" i="2" s="1"/>
  <c r="M41" i="2" s="1"/>
  <c r="N5" i="2" s="1"/>
  <c r="N41" i="2" s="1"/>
  <c r="O5" i="2" s="1"/>
  <c r="O41" i="2" s="1"/>
  <c r="P5" i="2" s="1"/>
  <c r="P41" i="2" s="1"/>
  <c r="Q5" i="2" s="1"/>
  <c r="Q41" i="2" s="1"/>
  <c r="R5" i="2" s="1"/>
  <c r="R41" i="2" s="1"/>
  <c r="S5" i="2" s="1"/>
  <c r="S41" i="2" s="1"/>
  <c r="T5" i="2" s="1"/>
  <c r="T41" i="2" s="1"/>
  <c r="U5" i="2" s="1"/>
  <c r="U41" i="2" s="1"/>
  <c r="V5" i="2" s="1"/>
  <c r="U322" i="1"/>
  <c r="U321" i="1"/>
  <c r="U319" i="1"/>
  <c r="Q322" i="1"/>
  <c r="Q321" i="1"/>
  <c r="Q319" i="1"/>
  <c r="AC322" i="1"/>
  <c r="AC321" i="1"/>
  <c r="AC319" i="1"/>
  <c r="O322" i="1"/>
  <c r="O321" i="1"/>
  <c r="O319" i="1"/>
  <c r="T303" i="1"/>
  <c r="T301" i="1"/>
  <c r="T304" i="1"/>
  <c r="K309" i="1"/>
  <c r="K310" i="1"/>
  <c r="K307" i="1"/>
  <c r="E254" i="1"/>
  <c r="E255" i="1"/>
  <c r="E252" i="1"/>
  <c r="E89" i="1"/>
  <c r="I292" i="1"/>
  <c r="I289" i="1"/>
  <c r="I291" i="1"/>
  <c r="I150" i="1"/>
  <c r="K276" i="1"/>
  <c r="K279" i="1"/>
  <c r="K278" i="1"/>
  <c r="K285" i="1"/>
  <c r="K284" i="1"/>
  <c r="R270" i="1"/>
  <c r="R272" i="1"/>
  <c r="R273" i="1"/>
  <c r="J266" i="1"/>
  <c r="J267" i="1"/>
  <c r="J264" i="1"/>
  <c r="G303" i="1"/>
  <c r="G301" i="1"/>
  <c r="G304" i="1"/>
  <c r="W295" i="1"/>
  <c r="W297" i="1"/>
  <c r="W298" i="1"/>
  <c r="L260" i="1"/>
  <c r="L258" i="1"/>
  <c r="L261" i="1"/>
  <c r="Z289" i="1"/>
  <c r="Z291" i="1"/>
  <c r="Z292" i="1"/>
  <c r="Z150" i="1"/>
  <c r="V309" i="1"/>
  <c r="V310" i="1"/>
  <c r="V307" i="1"/>
  <c r="E150" i="1"/>
  <c r="E289" i="1"/>
  <c r="E291" i="1"/>
  <c r="E292" i="1"/>
  <c r="E313" i="1"/>
  <c r="E316" i="1"/>
  <c r="E315" i="1"/>
  <c r="Y304" i="1"/>
  <c r="Y303" i="1"/>
  <c r="Y301" i="1"/>
  <c r="K270" i="1"/>
  <c r="K273" i="1"/>
  <c r="K272" i="1"/>
  <c r="O267" i="1"/>
  <c r="O266" i="1"/>
  <c r="O264" i="1"/>
  <c r="M272" i="1"/>
  <c r="M273" i="1"/>
  <c r="M270" i="1"/>
  <c r="AB295" i="1"/>
  <c r="AB298" i="1"/>
  <c r="AB297" i="1"/>
  <c r="M338" i="1"/>
  <c r="M336" i="1" s="1"/>
  <c r="M219" i="1"/>
  <c r="M217" i="1"/>
  <c r="M216" i="1"/>
  <c r="M415" i="1" s="1"/>
  <c r="M17" i="1"/>
  <c r="X270" i="1"/>
  <c r="X273" i="1"/>
  <c r="X272" i="1"/>
  <c r="Q266" i="1"/>
  <c r="Q267" i="1"/>
  <c r="Q264" i="1"/>
  <c r="E258" i="1"/>
  <c r="E261" i="1"/>
  <c r="E260" i="1"/>
  <c r="AD254" i="1"/>
  <c r="AD252" i="1"/>
  <c r="AD255" i="1"/>
  <c r="AD89" i="1"/>
  <c r="O255" i="1"/>
  <c r="O254" i="1"/>
  <c r="O252" i="1"/>
  <c r="O89" i="1"/>
  <c r="M252" i="1"/>
  <c r="M254" i="1"/>
  <c r="M255" i="1"/>
  <c r="M89" i="1"/>
  <c r="J74" i="1"/>
  <c r="E236" i="1"/>
  <c r="E233" i="1"/>
  <c r="X338" i="1"/>
  <c r="X336" i="1" s="1"/>
  <c r="X219" i="1"/>
  <c r="X217" i="1"/>
  <c r="X216" i="1"/>
  <c r="X415" i="1" s="1"/>
  <c r="X17" i="1"/>
  <c r="AB291" i="1"/>
  <c r="AB289" i="1"/>
  <c r="AB292" i="1"/>
  <c r="AB150" i="1"/>
  <c r="L285" i="1"/>
  <c r="L284" i="1"/>
  <c r="L279" i="1"/>
  <c r="L278" i="1"/>
  <c r="L276" i="1"/>
  <c r="Z255" i="1"/>
  <c r="Z254" i="1"/>
  <c r="Z252" i="1"/>
  <c r="Z89" i="1"/>
  <c r="F321" i="1"/>
  <c r="F319" i="1"/>
  <c r="F322" i="1"/>
  <c r="M260" i="1"/>
  <c r="M261" i="1"/>
  <c r="M258" i="1"/>
  <c r="X276" i="1"/>
  <c r="X285" i="1"/>
  <c r="X284" i="1"/>
  <c r="X278" i="1"/>
  <c r="X279" i="1"/>
  <c r="W273" i="1"/>
  <c r="W272" i="1"/>
  <c r="W270" i="1"/>
  <c r="M284" i="1"/>
  <c r="M276" i="1"/>
  <c r="M285" i="1"/>
  <c r="M278" i="1"/>
  <c r="M279" i="1"/>
  <c r="D7" i="5"/>
  <c r="E17" i="4" s="1"/>
  <c r="M42" i="4"/>
  <c r="M44" i="4" s="1"/>
  <c r="M46" i="4" s="1"/>
  <c r="M48" i="4" s="1"/>
  <c r="Y41" i="4"/>
  <c r="E88" i="4"/>
  <c r="M7" i="5"/>
  <c r="N17" i="4" s="1"/>
  <c r="K307" i="4"/>
  <c r="K308" i="4" s="1"/>
  <c r="K91" i="4"/>
  <c r="K64" i="4"/>
  <c r="K90" i="4"/>
  <c r="K52" i="4"/>
  <c r="K135" i="4" s="1"/>
  <c r="D315" i="1"/>
  <c r="D316" i="1"/>
  <c r="D313" i="1"/>
  <c r="N304" i="1"/>
  <c r="N303" i="1"/>
  <c r="N301" i="1"/>
  <c r="K338" i="1"/>
  <c r="K336" i="1" s="1"/>
  <c r="K217" i="1"/>
  <c r="K216" i="1"/>
  <c r="K415" i="1" s="1"/>
  <c r="K17" i="1"/>
  <c r="K219" i="1"/>
  <c r="Q270" i="1"/>
  <c r="Q273" i="1"/>
  <c r="Q272" i="1"/>
  <c r="Q310" i="1"/>
  <c r="Q307" i="1"/>
  <c r="Q309" i="1"/>
  <c r="H301" i="1"/>
  <c r="H303" i="1"/>
  <c r="H304" i="1"/>
  <c r="L297" i="1"/>
  <c r="L295" i="1"/>
  <c r="L298" i="1"/>
  <c r="K260" i="1"/>
  <c r="K258" i="1"/>
  <c r="K261" i="1"/>
  <c r="G266" i="1"/>
  <c r="G264" i="1"/>
  <c r="G267" i="1"/>
  <c r="Z269" i="1"/>
  <c r="AB260" i="1"/>
  <c r="AB261" i="1"/>
  <c r="AB258" i="1"/>
  <c r="W307" i="1"/>
  <c r="W310" i="1"/>
  <c r="W309" i="1"/>
  <c r="X292" i="1"/>
  <c r="X291" i="1"/>
  <c r="X289" i="1"/>
  <c r="X150" i="1"/>
  <c r="J321" i="1"/>
  <c r="J319" i="1"/>
  <c r="J322" i="1"/>
  <c r="AB272" i="1"/>
  <c r="AB270" i="1"/>
  <c r="AB273" i="1"/>
  <c r="AB303" i="1"/>
  <c r="AB304" i="1"/>
  <c r="AB301" i="1"/>
  <c r="O298" i="1"/>
  <c r="O297" i="1"/>
  <c r="O295" i="1"/>
  <c r="K86" i="1"/>
  <c r="F338" i="1"/>
  <c r="F336" i="1" s="1"/>
  <c r="F217" i="1"/>
  <c r="F219" i="1"/>
  <c r="F216" i="1"/>
  <c r="F415" i="1" s="1"/>
  <c r="F17" i="1"/>
  <c r="AA338" i="1"/>
  <c r="AA336" i="1" s="1"/>
  <c r="AA217" i="1"/>
  <c r="AA219" i="1"/>
  <c r="AA216" i="1"/>
  <c r="AA415" i="1" s="1"/>
  <c r="AA17" i="1"/>
  <c r="I338" i="1"/>
  <c r="I336" i="1" s="1"/>
  <c r="I216" i="1"/>
  <c r="I415" i="1" s="1"/>
  <c r="I217" i="1"/>
  <c r="I219" i="1"/>
  <c r="I17" i="1"/>
  <c r="F53" i="4"/>
  <c r="R53" i="4" s="1"/>
  <c r="AD53" i="4" s="1"/>
  <c r="F29" i="4"/>
  <c r="D341" i="4"/>
  <c r="D139" i="4"/>
  <c r="D10" i="4"/>
  <c r="T313" i="1"/>
  <c r="T316" i="1"/>
  <c r="T315" i="1"/>
  <c r="AC313" i="1"/>
  <c r="AC315" i="1"/>
  <c r="AC316" i="1"/>
  <c r="V297" i="1"/>
  <c r="V295" i="1"/>
  <c r="V298" i="1"/>
  <c r="M319" i="1"/>
  <c r="M321" i="1"/>
  <c r="M322" i="1"/>
  <c r="AB279" i="1"/>
  <c r="AB285" i="1"/>
  <c r="AB284" i="1"/>
  <c r="AB278" i="1"/>
  <c r="AB276" i="1"/>
  <c r="H295" i="1"/>
  <c r="H297" i="1"/>
  <c r="H298" i="1"/>
  <c r="D295" i="1"/>
  <c r="D298" i="1"/>
  <c r="D297" i="1"/>
  <c r="I261" i="1"/>
  <c r="I260" i="1"/>
  <c r="I258" i="1"/>
  <c r="R309" i="1"/>
  <c r="R307" i="1"/>
  <c r="R310" i="1"/>
  <c r="U252" i="1"/>
  <c r="U255" i="1"/>
  <c r="U254" i="1"/>
  <c r="U89" i="1"/>
  <c r="V267" i="1"/>
  <c r="V264" i="1"/>
  <c r="V266" i="1"/>
  <c r="Q150" i="1"/>
  <c r="Q292" i="1"/>
  <c r="Q291" i="1"/>
  <c r="Q289" i="1"/>
  <c r="S338" i="1"/>
  <c r="S336" i="1" s="1"/>
  <c r="S219" i="1"/>
  <c r="S216" i="1"/>
  <c r="S415" i="1" s="1"/>
  <c r="S217" i="1"/>
  <c r="S17" i="1"/>
  <c r="C7" i="5"/>
  <c r="B11" i="5"/>
  <c r="D41" i="4"/>
  <c r="D295" i="4"/>
  <c r="G133" i="4"/>
  <c r="L307" i="4"/>
  <c r="L308" i="4" s="1"/>
  <c r="L91" i="4"/>
  <c r="L64" i="4"/>
  <c r="L90" i="4"/>
  <c r="L52" i="4"/>
  <c r="D39" i="3"/>
  <c r="E31" i="3"/>
  <c r="E35" i="3" s="1"/>
  <c r="J297" i="1"/>
  <c r="J298" i="1"/>
  <c r="J295" i="1"/>
  <c r="S310" i="1"/>
  <c r="S307" i="1"/>
  <c r="S309" i="1"/>
  <c r="L319" i="1"/>
  <c r="L321" i="1"/>
  <c r="L322" i="1"/>
  <c r="G306" i="1"/>
  <c r="T321" i="1"/>
  <c r="T322" i="1"/>
  <c r="T319" i="1"/>
  <c r="V301" i="1"/>
  <c r="V304" i="1"/>
  <c r="V303" i="1"/>
  <c r="E270" i="1"/>
  <c r="E272" i="1"/>
  <c r="E273" i="1"/>
  <c r="AB307" i="1"/>
  <c r="AB310" i="1"/>
  <c r="AB309" i="1"/>
  <c r="T279" i="1"/>
  <c r="T276" i="1"/>
  <c r="T285" i="1"/>
  <c r="T284" i="1"/>
  <c r="T278" i="1"/>
  <c r="AD270" i="1"/>
  <c r="AD273" i="1"/>
  <c r="AD272" i="1"/>
  <c r="Z258" i="1"/>
  <c r="Z261" i="1"/>
  <c r="Z260" i="1"/>
  <c r="R338" i="1"/>
  <c r="R336" i="1" s="1"/>
  <c r="R217" i="1"/>
  <c r="R219" i="1"/>
  <c r="R216" i="1"/>
  <c r="R415" i="1" s="1"/>
  <c r="R17" i="1"/>
  <c r="Q285" i="1"/>
  <c r="Q284" i="1"/>
  <c r="Q279" i="1"/>
  <c r="Q278" i="1"/>
  <c r="Q276" i="1"/>
  <c r="AB319" i="1"/>
  <c r="AB322" i="1"/>
  <c r="AB321" i="1"/>
  <c r="W316" i="1"/>
  <c r="W315" i="1"/>
  <c r="W313" i="1"/>
  <c r="D279" i="1"/>
  <c r="D285" i="1"/>
  <c r="D284" i="1"/>
  <c r="D278" i="1"/>
  <c r="D276" i="1"/>
  <c r="Y338" i="1"/>
  <c r="Y336" i="1" s="1"/>
  <c r="Y217" i="1"/>
  <c r="Y219" i="1"/>
  <c r="Y216" i="1"/>
  <c r="Y415" i="1" s="1"/>
  <c r="Y17" i="1"/>
  <c r="N315" i="1"/>
  <c r="N316" i="1"/>
  <c r="N313" i="1"/>
  <c r="AC303" i="1"/>
  <c r="AC301" i="1"/>
  <c r="AC304" i="1"/>
  <c r="V285" i="1"/>
  <c r="V279" i="1"/>
  <c r="V278" i="1"/>
  <c r="V276" i="1"/>
  <c r="V284" i="1"/>
  <c r="AA258" i="1"/>
  <c r="AA261" i="1"/>
  <c r="AA260" i="1"/>
  <c r="T257" i="1"/>
  <c r="R301" i="1"/>
  <c r="R303" i="1"/>
  <c r="R304" i="1"/>
  <c r="O292" i="1"/>
  <c r="O291" i="1"/>
  <c r="O289" i="1"/>
  <c r="O150" i="1"/>
  <c r="F233" i="1"/>
  <c r="F236" i="1"/>
  <c r="D233" i="1"/>
  <c r="D236" i="1"/>
  <c r="K292" i="1"/>
  <c r="K291" i="1"/>
  <c r="K289" i="1"/>
  <c r="K150" i="1"/>
  <c r="E220" i="1"/>
  <c r="U279" i="1"/>
  <c r="U278" i="1"/>
  <c r="U276" i="1"/>
  <c r="U285" i="1"/>
  <c r="U284" i="1"/>
  <c r="E266" i="1"/>
  <c r="E264" i="1"/>
  <c r="E267" i="1"/>
  <c r="N298" i="1"/>
  <c r="N297" i="1"/>
  <c r="N295" i="1"/>
  <c r="AC270" i="1"/>
  <c r="AC272" i="1"/>
  <c r="AC273" i="1"/>
  <c r="AA304" i="1"/>
  <c r="AA303" i="1"/>
  <c r="AA301" i="1"/>
  <c r="W41" i="4"/>
  <c r="K42" i="4"/>
  <c r="K44" i="4" s="1"/>
  <c r="K46" i="4" s="1"/>
  <c r="K48" i="4" s="1"/>
  <c r="L135" i="4"/>
  <c r="F179" i="4"/>
  <c r="G175" i="4" s="1"/>
  <c r="F177" i="4"/>
  <c r="F178" i="4" s="1"/>
  <c r="F359" i="4" s="1"/>
  <c r="F358" i="4" s="1"/>
  <c r="E106" i="4"/>
  <c r="E71" i="4"/>
  <c r="E68" i="4"/>
  <c r="E27" i="4"/>
  <c r="E15" i="4"/>
  <c r="F81" i="4"/>
  <c r="F102" i="4" s="1"/>
  <c r="F103" i="4" s="1"/>
  <c r="I295" i="1"/>
  <c r="I298" i="1"/>
  <c r="I297" i="1"/>
  <c r="M309" i="1"/>
  <c r="M310" i="1"/>
  <c r="M307" i="1"/>
  <c r="H252" i="1"/>
  <c r="H254" i="1"/>
  <c r="H255" i="1"/>
  <c r="H89" i="1"/>
  <c r="AC298" i="1"/>
  <c r="AC297" i="1"/>
  <c r="AC295" i="1"/>
  <c r="J261" i="1"/>
  <c r="J260" i="1"/>
  <c r="J258" i="1"/>
  <c r="C9" i="5"/>
  <c r="M9" i="5"/>
  <c r="L9" i="5"/>
  <c r="K9" i="5"/>
  <c r="J9" i="5"/>
  <c r="I9" i="5"/>
  <c r="H9" i="5"/>
  <c r="G9" i="5"/>
  <c r="F9" i="5"/>
  <c r="Z41" i="4"/>
  <c r="N42" i="4"/>
  <c r="N44" i="4" s="1"/>
  <c r="N46" i="4" s="1"/>
  <c r="N48" i="4" s="1"/>
  <c r="E42" i="4"/>
  <c r="Q41" i="4"/>
  <c r="P189" i="4"/>
  <c r="P190" i="4" s="1"/>
  <c r="P191" i="4" s="1"/>
  <c r="Q187" i="4" s="1"/>
  <c r="J135" i="4"/>
  <c r="O94" i="4"/>
  <c r="N93" i="4"/>
  <c r="M307" i="4"/>
  <c r="M308" i="4" s="1"/>
  <c r="M90" i="4"/>
  <c r="M64" i="4"/>
  <c r="M52" i="4"/>
  <c r="E50" i="3"/>
  <c r="E45" i="3"/>
  <c r="D100" i="4"/>
  <c r="D101" i="4" s="1"/>
  <c r="R313" i="1"/>
  <c r="R316" i="1"/>
  <c r="R315" i="1"/>
  <c r="H318" i="1"/>
  <c r="S304" i="1"/>
  <c r="S301" i="1"/>
  <c r="S303" i="1"/>
  <c r="AD313" i="1"/>
  <c r="AD315" i="1"/>
  <c r="AD316" i="1"/>
  <c r="E304" i="1"/>
  <c r="E301" i="1"/>
  <c r="E303" i="1"/>
  <c r="L252" i="1"/>
  <c r="L255" i="1"/>
  <c r="L254" i="1"/>
  <c r="L89" i="1"/>
  <c r="S278" i="1"/>
  <c r="S276" i="1"/>
  <c r="S285" i="1"/>
  <c r="S279" i="1"/>
  <c r="S284" i="1"/>
  <c r="F270" i="1"/>
  <c r="F273" i="1"/>
  <c r="F272" i="1"/>
  <c r="P267" i="1"/>
  <c r="P266" i="1"/>
  <c r="P264" i="1"/>
  <c r="O415" i="1"/>
  <c r="D291" i="1"/>
  <c r="D289" i="1"/>
  <c r="D292" i="1"/>
  <c r="D150" i="1"/>
  <c r="V338" i="1"/>
  <c r="V336" i="1" s="1"/>
  <c r="V216" i="1"/>
  <c r="V415" i="1" s="1"/>
  <c r="V217" i="1"/>
  <c r="V219" i="1"/>
  <c r="V17" i="1"/>
  <c r="AD301" i="1"/>
  <c r="AD303" i="1"/>
  <c r="AD304" i="1"/>
  <c r="I316" i="1"/>
  <c r="I315" i="1"/>
  <c r="I313" i="1"/>
  <c r="D303" i="1"/>
  <c r="D301" i="1"/>
  <c r="D304" i="1"/>
  <c r="AA284" i="1"/>
  <c r="AA276" i="1"/>
  <c r="AA285" i="1"/>
  <c r="AA279" i="1"/>
  <c r="AA278" i="1"/>
  <c r="S270" i="1"/>
  <c r="S272" i="1"/>
  <c r="S273" i="1"/>
  <c r="S313" i="1"/>
  <c r="S316" i="1"/>
  <c r="S315" i="1"/>
  <c r="W278" i="1"/>
  <c r="W276" i="1"/>
  <c r="W285" i="1"/>
  <c r="W284" i="1"/>
  <c r="W279" i="1"/>
  <c r="J269" i="1"/>
  <c r="Q258" i="1"/>
  <c r="Q261" i="1"/>
  <c r="Q260" i="1"/>
  <c r="O272" i="1"/>
  <c r="O270" i="1"/>
  <c r="O273" i="1"/>
  <c r="W304" i="1"/>
  <c r="W303" i="1"/>
  <c r="W301" i="1"/>
  <c r="W292" i="1"/>
  <c r="W291" i="1"/>
  <c r="W289" i="1"/>
  <c r="W150" i="1"/>
  <c r="J281" i="1"/>
  <c r="D255" i="1"/>
  <c r="D252" i="1"/>
  <c r="D254" i="1"/>
  <c r="D89" i="1"/>
  <c r="G270" i="1"/>
  <c r="G273" i="1"/>
  <c r="G272" i="1"/>
  <c r="S266" i="1"/>
  <c r="S264" i="1"/>
  <c r="S267" i="1"/>
  <c r="O258" i="1"/>
  <c r="O260" i="1"/>
  <c r="O261" i="1"/>
  <c r="F254" i="1"/>
  <c r="F255" i="1"/>
  <c r="F252" i="1"/>
  <c r="F89" i="1"/>
  <c r="W252" i="1"/>
  <c r="W255" i="1"/>
  <c r="W254" i="1"/>
  <c r="W89" i="1"/>
  <c r="V255" i="1"/>
  <c r="V252" i="1"/>
  <c r="V254" i="1"/>
  <c r="V89" i="1"/>
  <c r="F242" i="1"/>
  <c r="F239" i="1"/>
  <c r="N215" i="1"/>
  <c r="N218" i="1"/>
  <c r="D239" i="1"/>
  <c r="D242" i="1"/>
  <c r="L338" i="1"/>
  <c r="L336" i="1" s="1"/>
  <c r="L219" i="1"/>
  <c r="L217" i="1"/>
  <c r="L216" i="1"/>
  <c r="L415" i="1" s="1"/>
  <c r="L17" i="1"/>
  <c r="O312" i="1" l="1"/>
  <c r="AA269" i="1"/>
  <c r="I75" i="1"/>
  <c r="I65" i="1" s="1"/>
  <c r="M74" i="1"/>
  <c r="D312" i="1"/>
  <c r="J312" i="1"/>
  <c r="E312" i="1"/>
  <c r="N294" i="1"/>
  <c r="G294" i="1"/>
  <c r="G281" i="1"/>
  <c r="Q263" i="1"/>
  <c r="K294" i="1"/>
  <c r="P294" i="1"/>
  <c r="J306" i="1"/>
  <c r="T318" i="1"/>
  <c r="U318" i="1"/>
  <c r="P318" i="1"/>
  <c r="K318" i="1"/>
  <c r="U312" i="1"/>
  <c r="R312" i="1"/>
  <c r="X312" i="1"/>
  <c r="H312" i="1"/>
  <c r="AC312" i="1"/>
  <c r="AB312" i="1"/>
  <c r="X306" i="1"/>
  <c r="L306" i="1"/>
  <c r="AB306" i="1"/>
  <c r="R306" i="1"/>
  <c r="K300" i="1"/>
  <c r="AD300" i="1"/>
  <c r="W300" i="1"/>
  <c r="S300" i="1"/>
  <c r="H300" i="1"/>
  <c r="L300" i="1"/>
  <c r="D300" i="1"/>
  <c r="AA300" i="1"/>
  <c r="G300" i="1"/>
  <c r="AD294" i="1"/>
  <c r="X294" i="1"/>
  <c r="AB294" i="1"/>
  <c r="Y294" i="1"/>
  <c r="O294" i="1"/>
  <c r="AA294" i="1"/>
  <c r="Z294" i="1"/>
  <c r="AC294" i="1"/>
  <c r="H288" i="1"/>
  <c r="N275" i="1"/>
  <c r="O281" i="1"/>
  <c r="K281" i="1"/>
  <c r="G275" i="1"/>
  <c r="M281" i="1"/>
  <c r="F281" i="1"/>
  <c r="AD281" i="1"/>
  <c r="Q281" i="1"/>
  <c r="AA275" i="1"/>
  <c r="W275" i="1"/>
  <c r="X281" i="1"/>
  <c r="S281" i="1"/>
  <c r="U281" i="1"/>
  <c r="Z281" i="1"/>
  <c r="AC281" i="1"/>
  <c r="W281" i="1"/>
  <c r="D281" i="1"/>
  <c r="E275" i="1"/>
  <c r="P281" i="1"/>
  <c r="L281" i="1"/>
  <c r="V281" i="1"/>
  <c r="Y281" i="1"/>
  <c r="H281" i="1"/>
  <c r="U275" i="1"/>
  <c r="V275" i="1"/>
  <c r="K275" i="1"/>
  <c r="O263" i="1"/>
  <c r="H263" i="1"/>
  <c r="L263" i="1"/>
  <c r="E263" i="1"/>
  <c r="F263" i="1"/>
  <c r="J257" i="1"/>
  <c r="F27" i="1"/>
  <c r="AB281" i="1"/>
  <c r="I281" i="1"/>
  <c r="AA281" i="1"/>
  <c r="N281" i="1"/>
  <c r="E281" i="1"/>
  <c r="T281" i="1"/>
  <c r="T275" i="1"/>
  <c r="D275" i="1"/>
  <c r="H275" i="1"/>
  <c r="E269" i="1"/>
  <c r="AD269" i="1"/>
  <c r="M269" i="1"/>
  <c r="H269" i="1"/>
  <c r="R269" i="1"/>
  <c r="T269" i="1"/>
  <c r="O269" i="1"/>
  <c r="S269" i="1"/>
  <c r="V263" i="1"/>
  <c r="P263" i="1"/>
  <c r="M263" i="1"/>
  <c r="AA263" i="1"/>
  <c r="E257" i="1"/>
  <c r="AC257" i="1"/>
  <c r="I257" i="1"/>
  <c r="K257" i="1"/>
  <c r="N257" i="1"/>
  <c r="P257" i="1"/>
  <c r="O257" i="1"/>
  <c r="Q257" i="1"/>
  <c r="AB257" i="1"/>
  <c r="Y257" i="1"/>
  <c r="Z251" i="1"/>
  <c r="K288" i="1"/>
  <c r="S288" i="1"/>
  <c r="U288" i="1"/>
  <c r="P288" i="1"/>
  <c r="Q288" i="1"/>
  <c r="Z288" i="1"/>
  <c r="J288" i="1"/>
  <c r="T288" i="1"/>
  <c r="Y288" i="1"/>
  <c r="E288" i="1"/>
  <c r="I251" i="1"/>
  <c r="E232" i="1"/>
  <c r="V251" i="1"/>
  <c r="P251" i="1"/>
  <c r="S251" i="1"/>
  <c r="G238" i="1"/>
  <c r="F238" i="1"/>
  <c r="L62" i="1"/>
  <c r="J236" i="1"/>
  <c r="J232" i="1" s="1"/>
  <c r="H63" i="1"/>
  <c r="H53" i="1" s="1"/>
  <c r="K50" i="1"/>
  <c r="K51" i="1" s="1"/>
  <c r="K41" i="1" s="1"/>
  <c r="I227" i="1"/>
  <c r="I226" i="1" s="1"/>
  <c r="G232" i="1"/>
  <c r="F232" i="1"/>
  <c r="K62" i="1"/>
  <c r="I63" i="1"/>
  <c r="I53" i="1" s="1"/>
  <c r="I16" i="1" s="1"/>
  <c r="F230" i="1"/>
  <c r="F226" i="1" s="1"/>
  <c r="N432" i="1"/>
  <c r="N465" i="1" s="1"/>
  <c r="N463" i="1" s="1"/>
  <c r="G226" i="1"/>
  <c r="K38" i="1"/>
  <c r="N214" i="1"/>
  <c r="I26" i="1"/>
  <c r="J27" i="1"/>
  <c r="L26" i="1"/>
  <c r="G22" i="4"/>
  <c r="Q191" i="4"/>
  <c r="R187" i="4" s="1"/>
  <c r="Q189" i="4"/>
  <c r="Q190" i="4" s="1"/>
  <c r="L420" i="1"/>
  <c r="L432" i="1"/>
  <c r="I312" i="1"/>
  <c r="N53" i="4"/>
  <c r="Z53" i="4" s="1"/>
  <c r="AL53" i="4" s="1"/>
  <c r="N29" i="4"/>
  <c r="AA257" i="1"/>
  <c r="Y218" i="1"/>
  <c r="Y215" i="1"/>
  <c r="D294" i="1"/>
  <c r="D346" i="4"/>
  <c r="J318" i="1"/>
  <c r="K420" i="1"/>
  <c r="K432" i="1"/>
  <c r="M257" i="1"/>
  <c r="X215" i="1"/>
  <c r="X218" i="1"/>
  <c r="M251" i="1"/>
  <c r="L257" i="1"/>
  <c r="E251" i="1"/>
  <c r="AC318" i="1"/>
  <c r="X42" i="4"/>
  <c r="X44" i="4" s="1"/>
  <c r="X46" i="4" s="1"/>
  <c r="X48" i="4" s="1"/>
  <c r="AJ41" i="4"/>
  <c r="AJ42" i="4" s="1"/>
  <c r="AJ44" i="4" s="1"/>
  <c r="AJ46" i="4" s="1"/>
  <c r="AJ48" i="4" s="1"/>
  <c r="AD275" i="1"/>
  <c r="N318" i="1"/>
  <c r="N263" i="1"/>
  <c r="J292" i="4"/>
  <c r="J293" i="4" s="1"/>
  <c r="J87" i="4"/>
  <c r="J86" i="4"/>
  <c r="J84" i="4"/>
  <c r="J83" i="4"/>
  <c r="J40" i="4"/>
  <c r="I263" i="1"/>
  <c r="E294" i="1"/>
  <c r="I242" i="1"/>
  <c r="I239" i="1"/>
  <c r="J251" i="1"/>
  <c r="M294" i="1"/>
  <c r="R263" i="1"/>
  <c r="S42" i="4"/>
  <c r="S44" i="4" s="1"/>
  <c r="S46" i="4" s="1"/>
  <c r="S48" i="4" s="1"/>
  <c r="AE41" i="4"/>
  <c r="AE42" i="4" s="1"/>
  <c r="AE44" i="4" s="1"/>
  <c r="AE46" i="4" s="1"/>
  <c r="AE48" i="4" s="1"/>
  <c r="N288" i="1"/>
  <c r="N89" i="4"/>
  <c r="N92" i="4"/>
  <c r="F18" i="4"/>
  <c r="R17" i="4"/>
  <c r="E30" i="4"/>
  <c r="Q29" i="4"/>
  <c r="L53" i="4"/>
  <c r="X53" i="4" s="1"/>
  <c r="AJ53" i="4" s="1"/>
  <c r="L29" i="4"/>
  <c r="Q42" i="4"/>
  <c r="Q44" i="4" s="1"/>
  <c r="Q46" i="4" s="1"/>
  <c r="Q48" i="4" s="1"/>
  <c r="AC41" i="4"/>
  <c r="AC42" i="4" s="1"/>
  <c r="AC44" i="4" s="1"/>
  <c r="AC46" i="4" s="1"/>
  <c r="AC48" i="4" s="1"/>
  <c r="B9" i="5"/>
  <c r="D29" i="4"/>
  <c r="D53" i="4"/>
  <c r="M306" i="1"/>
  <c r="W312" i="1"/>
  <c r="S306" i="1"/>
  <c r="V294" i="1"/>
  <c r="K87" i="1"/>
  <c r="K77" i="1" s="1"/>
  <c r="M86" i="1"/>
  <c r="M275" i="1"/>
  <c r="L275" i="1"/>
  <c r="X420" i="1"/>
  <c r="X432" i="1"/>
  <c r="N62" i="1"/>
  <c r="L63" i="1"/>
  <c r="L53" i="1" s="1"/>
  <c r="E315" i="4"/>
  <c r="E309" i="4"/>
  <c r="F288" i="1"/>
  <c r="AA292" i="4"/>
  <c r="AA293" i="4" s="1"/>
  <c r="AA86" i="4"/>
  <c r="AA83" i="4"/>
  <c r="AA40" i="4"/>
  <c r="AA87" i="4"/>
  <c r="AA84" i="4"/>
  <c r="O135" i="4"/>
  <c r="D318" i="1"/>
  <c r="H197" i="4"/>
  <c r="H195" i="4"/>
  <c r="AB218" i="1"/>
  <c r="AB215" i="1"/>
  <c r="Q215" i="1"/>
  <c r="Q218" i="1"/>
  <c r="Y17" i="4"/>
  <c r="M18" i="4"/>
  <c r="M20" i="4" s="1"/>
  <c r="M22" i="4" s="1"/>
  <c r="M24" i="4" s="1"/>
  <c r="AD318" i="1"/>
  <c r="AC251" i="1"/>
  <c r="AH41" i="4"/>
  <c r="AH42" i="4" s="1"/>
  <c r="AH44" i="4" s="1"/>
  <c r="AH46" i="4" s="1"/>
  <c r="AH48" i="4" s="1"/>
  <c r="V42" i="4"/>
  <c r="V44" i="4" s="1"/>
  <c r="V46" i="4" s="1"/>
  <c r="V48" i="4" s="1"/>
  <c r="X300" i="1"/>
  <c r="O275" i="1"/>
  <c r="T218" i="1"/>
  <c r="T215" i="1"/>
  <c r="G318" i="1"/>
  <c r="Y251" i="1"/>
  <c r="AC432" i="1"/>
  <c r="AC420" i="1"/>
  <c r="AC263" i="1"/>
  <c r="Y275" i="1"/>
  <c r="G46" i="4"/>
  <c r="AN44" i="4"/>
  <c r="U269" i="1"/>
  <c r="G257" i="1"/>
  <c r="I18" i="4"/>
  <c r="I20" i="4" s="1"/>
  <c r="I22" i="4" s="1"/>
  <c r="I24" i="4" s="1"/>
  <c r="U17" i="4"/>
  <c r="M75" i="1"/>
  <c r="M65" i="1" s="1"/>
  <c r="O74" i="1"/>
  <c r="K242" i="1"/>
  <c r="K239" i="1"/>
  <c r="O292" i="4"/>
  <c r="O293" i="4" s="1"/>
  <c r="O83" i="4"/>
  <c r="O87" i="4"/>
  <c r="O84" i="4"/>
  <c r="O40" i="4"/>
  <c r="O86" i="4"/>
  <c r="S432" i="1"/>
  <c r="S420" i="1"/>
  <c r="AA432" i="1"/>
  <c r="AA420" i="1"/>
  <c r="J89" i="4"/>
  <c r="J92" i="4"/>
  <c r="AM292" i="4"/>
  <c r="AM293" i="4" s="1"/>
  <c r="AM87" i="4"/>
  <c r="AM86" i="4"/>
  <c r="AM84" i="4"/>
  <c r="AM83" i="4"/>
  <c r="AM40" i="4"/>
  <c r="J262" i="4"/>
  <c r="J263" i="4" s="1"/>
  <c r="J105" i="4"/>
  <c r="J72" i="4"/>
  <c r="J69" i="4"/>
  <c r="J70" i="4"/>
  <c r="J73" i="4"/>
  <c r="J16" i="4"/>
  <c r="D218" i="1"/>
  <c r="D215" i="1"/>
  <c r="D16" i="1"/>
  <c r="X17" i="4"/>
  <c r="L18" i="4"/>
  <c r="L20" i="4" s="1"/>
  <c r="L22" i="4" s="1"/>
  <c r="L24" i="4" s="1"/>
  <c r="W288" i="1"/>
  <c r="D288" i="1"/>
  <c r="S275" i="1"/>
  <c r="AD312" i="1"/>
  <c r="M89" i="4"/>
  <c r="M88" i="4" s="1"/>
  <c r="M92" i="4"/>
  <c r="N292" i="4"/>
  <c r="N293" i="4" s="1"/>
  <c r="N87" i="4"/>
  <c r="N86" i="4"/>
  <c r="N83" i="4"/>
  <c r="N84" i="4"/>
  <c r="N40" i="4"/>
  <c r="AC269" i="1"/>
  <c r="O288" i="1"/>
  <c r="Y420" i="1"/>
  <c r="Y432" i="1"/>
  <c r="R215" i="1"/>
  <c r="R218" i="1"/>
  <c r="J294" i="1"/>
  <c r="U251" i="1"/>
  <c r="H294" i="1"/>
  <c r="X288" i="1"/>
  <c r="G263" i="1"/>
  <c r="Q306" i="1"/>
  <c r="N300" i="1"/>
  <c r="W269" i="1"/>
  <c r="O251" i="1"/>
  <c r="K269" i="1"/>
  <c r="K306" i="1"/>
  <c r="Q318" i="1"/>
  <c r="L312" i="1"/>
  <c r="E238" i="1"/>
  <c r="G244" i="1"/>
  <c r="U257" i="1"/>
  <c r="P269" i="1"/>
  <c r="Z318" i="1"/>
  <c r="E270" i="4"/>
  <c r="E265" i="4"/>
  <c r="E264" i="4" s="1"/>
  <c r="R318" i="1"/>
  <c r="V18" i="4"/>
  <c r="V20" i="4" s="1"/>
  <c r="V22" i="4" s="1"/>
  <c r="V24" i="4" s="1"/>
  <c r="AH17" i="4"/>
  <c r="AH18" i="4" s="1"/>
  <c r="AH20" i="4" s="1"/>
  <c r="AH22" i="4" s="1"/>
  <c r="AH24" i="4" s="1"/>
  <c r="I306" i="1"/>
  <c r="U214" i="1"/>
  <c r="J218" i="1"/>
  <c r="J215" i="1"/>
  <c r="AC306" i="1"/>
  <c r="W263" i="1"/>
  <c r="K263" i="1"/>
  <c r="AA318" i="1"/>
  <c r="F294" i="1"/>
  <c r="H27" i="1"/>
  <c r="T294" i="1"/>
  <c r="Y306" i="1"/>
  <c r="AA29" i="4"/>
  <c r="O30" i="4"/>
  <c r="O32" i="4" s="1"/>
  <c r="O34" i="4" s="1"/>
  <c r="O36" i="4" s="1"/>
  <c r="H238" i="1"/>
  <c r="I294" i="1"/>
  <c r="E12" i="3"/>
  <c r="E55" i="3"/>
  <c r="E49" i="3"/>
  <c r="E11" i="3" s="1"/>
  <c r="F30" i="4"/>
  <c r="R29" i="4"/>
  <c r="Z17" i="4"/>
  <c r="N18" i="4"/>
  <c r="N20" i="4" s="1"/>
  <c r="N22" i="4" s="1"/>
  <c r="N24" i="4" s="1"/>
  <c r="S263" i="1"/>
  <c r="Z42" i="4"/>
  <c r="Z44" i="4" s="1"/>
  <c r="Z46" i="4" s="1"/>
  <c r="Z48" i="4" s="1"/>
  <c r="AL41" i="4"/>
  <c r="AL42" i="4" s="1"/>
  <c r="AL44" i="4" s="1"/>
  <c r="AL46" i="4" s="1"/>
  <c r="AL48" i="4" s="1"/>
  <c r="G179" i="4"/>
  <c r="H175" i="4" s="1"/>
  <c r="G177" i="4"/>
  <c r="G178" i="4" s="1"/>
  <c r="V300" i="1"/>
  <c r="AB275" i="1"/>
  <c r="F318" i="1"/>
  <c r="V306" i="1"/>
  <c r="W294" i="1"/>
  <c r="F66" i="4"/>
  <c r="F98" i="4"/>
  <c r="F99" i="4" s="1"/>
  <c r="P218" i="1"/>
  <c r="P215" i="1"/>
  <c r="E260" i="4"/>
  <c r="D271" i="4"/>
  <c r="D259" i="4"/>
  <c r="T263" i="1"/>
  <c r="U420" i="1"/>
  <c r="U432" i="1"/>
  <c r="Q432" i="1"/>
  <c r="Q420" i="1"/>
  <c r="AA288" i="1"/>
  <c r="Z275" i="1"/>
  <c r="I89" i="4"/>
  <c r="I88" i="4" s="1"/>
  <c r="I92" i="4"/>
  <c r="T251" i="1"/>
  <c r="Y269" i="1"/>
  <c r="AC288" i="1"/>
  <c r="H18" i="4"/>
  <c r="H20" i="4" s="1"/>
  <c r="H22" i="4" s="1"/>
  <c r="H24" i="4" s="1"/>
  <c r="I275" i="1"/>
  <c r="H218" i="1"/>
  <c r="H215" i="1"/>
  <c r="F300" i="1"/>
  <c r="D432" i="1"/>
  <c r="D420" i="1"/>
  <c r="Q183" i="4"/>
  <c r="Q184" i="4" s="1"/>
  <c r="Q185" i="4" s="1"/>
  <c r="R181" i="4" s="1"/>
  <c r="O432" i="1"/>
  <c r="O420" i="1"/>
  <c r="R432" i="1"/>
  <c r="R420" i="1"/>
  <c r="D300" i="4"/>
  <c r="D294" i="4"/>
  <c r="D255" i="4" s="1"/>
  <c r="AB300" i="1"/>
  <c r="Y300" i="1"/>
  <c r="L269" i="1"/>
  <c r="Z420" i="1"/>
  <c r="Z432" i="1"/>
  <c r="Z306" i="1"/>
  <c r="U300" i="1"/>
  <c r="E244" i="1"/>
  <c r="D257" i="1"/>
  <c r="J420" i="1"/>
  <c r="J432" i="1"/>
  <c r="V269" i="1"/>
  <c r="X257" i="1"/>
  <c r="T18" i="4"/>
  <c r="T20" i="4" s="1"/>
  <c r="T22" i="4" s="1"/>
  <c r="T24" i="4" s="1"/>
  <c r="AF17" i="4"/>
  <c r="AF18" i="4" s="1"/>
  <c r="AF20" i="4" s="1"/>
  <c r="AF22" i="4" s="1"/>
  <c r="AF24" i="4" s="1"/>
  <c r="D238" i="1"/>
  <c r="K292" i="4"/>
  <c r="K293" i="4" s="1"/>
  <c r="K40" i="4"/>
  <c r="K84" i="4"/>
  <c r="K86" i="4"/>
  <c r="K87" i="4"/>
  <c r="K83" i="4"/>
  <c r="AB318" i="1"/>
  <c r="I218" i="1"/>
  <c r="I215" i="1"/>
  <c r="U42" i="4"/>
  <c r="U44" i="4" s="1"/>
  <c r="U46" i="4" s="1"/>
  <c r="U48" i="4" s="1"/>
  <c r="AG41" i="4"/>
  <c r="AG42" i="4" s="1"/>
  <c r="AG44" i="4" s="1"/>
  <c r="AG46" i="4" s="1"/>
  <c r="AG48" i="4" s="1"/>
  <c r="H432" i="1"/>
  <c r="H420" i="1"/>
  <c r="G61" i="4"/>
  <c r="AN59" i="4"/>
  <c r="W251" i="1"/>
  <c r="I53" i="4"/>
  <c r="U53" i="4" s="1"/>
  <c r="AG53" i="4" s="1"/>
  <c r="I29" i="4"/>
  <c r="Q269" i="1"/>
  <c r="P275" i="1"/>
  <c r="F306" i="1"/>
  <c r="F312" i="1"/>
  <c r="X318" i="1"/>
  <c r="D306" i="1"/>
  <c r="I292" i="4"/>
  <c r="I293" i="4" s="1"/>
  <c r="I87" i="4"/>
  <c r="I86" i="4"/>
  <c r="I84" i="4"/>
  <c r="I40" i="4"/>
  <c r="I83" i="4"/>
  <c r="K251" i="1"/>
  <c r="X263" i="1"/>
  <c r="AD306" i="1"/>
  <c r="E15" i="3"/>
  <c r="D26" i="3"/>
  <c r="AD288" i="1"/>
  <c r="R42" i="4"/>
  <c r="R44" i="4" s="1"/>
  <c r="R46" i="4" s="1"/>
  <c r="R48" i="4" s="1"/>
  <c r="AD41" i="4"/>
  <c r="AD42" i="4" s="1"/>
  <c r="AD44" i="4" s="1"/>
  <c r="AD46" i="4" s="1"/>
  <c r="AD48" i="4" s="1"/>
  <c r="D342" i="4"/>
  <c r="D340" i="4" s="1"/>
  <c r="D363" i="4" s="1"/>
  <c r="D367" i="4" s="1"/>
  <c r="G269" i="1"/>
  <c r="V218" i="1"/>
  <c r="V215" i="1"/>
  <c r="J29" i="4"/>
  <c r="J53" i="4"/>
  <c r="V53" i="4" s="1"/>
  <c r="AH53" i="4" s="1"/>
  <c r="R300" i="1"/>
  <c r="Q275" i="1"/>
  <c r="E30" i="3"/>
  <c r="D41" i="3"/>
  <c r="B7" i="5"/>
  <c r="D17" i="4"/>
  <c r="T312" i="1"/>
  <c r="M292" i="4"/>
  <c r="M293" i="4" s="1"/>
  <c r="M87" i="4"/>
  <c r="M86" i="4"/>
  <c r="M84" i="4"/>
  <c r="M83" i="4"/>
  <c r="M40" i="4"/>
  <c r="AB288" i="1"/>
  <c r="J75" i="1"/>
  <c r="J65" i="1" s="1"/>
  <c r="L74" i="1"/>
  <c r="J263" i="1"/>
  <c r="I135" i="4"/>
  <c r="P432" i="1"/>
  <c r="P420" i="1"/>
  <c r="W257" i="1"/>
  <c r="AA312" i="1"/>
  <c r="Y318" i="1"/>
  <c r="G159" i="4"/>
  <c r="F387" i="4"/>
  <c r="F386" i="4" s="1"/>
  <c r="Z214" i="1"/>
  <c r="M288" i="1"/>
  <c r="AC275" i="1"/>
  <c r="V312" i="1"/>
  <c r="I300" i="1"/>
  <c r="Q251" i="1"/>
  <c r="R275" i="1"/>
  <c r="E20" i="3"/>
  <c r="E19" i="3" s="1"/>
  <c r="E25" i="3"/>
  <c r="E306" i="1"/>
  <c r="H53" i="4"/>
  <c r="T53" i="4" s="1"/>
  <c r="AF53" i="4" s="1"/>
  <c r="H29" i="4"/>
  <c r="D42" i="4"/>
  <c r="AN42" i="4" s="1"/>
  <c r="P41" i="4"/>
  <c r="AB432" i="1"/>
  <c r="AB420" i="1"/>
  <c r="H87" i="1"/>
  <c r="H77" i="1" s="1"/>
  <c r="J86" i="1"/>
  <c r="W42" i="4"/>
  <c r="W44" i="4" s="1"/>
  <c r="W46" i="4" s="1"/>
  <c r="W48" i="4" s="1"/>
  <c r="AI41" i="4"/>
  <c r="AI42" i="4" s="1"/>
  <c r="AI44" i="4" s="1"/>
  <c r="AI46" i="4" s="1"/>
  <c r="AI48" i="4" s="1"/>
  <c r="AC300" i="1"/>
  <c r="E34" i="3"/>
  <c r="E40" i="3"/>
  <c r="F218" i="1"/>
  <c r="F215" i="1"/>
  <c r="F16" i="1"/>
  <c r="Y42" i="4"/>
  <c r="Y44" i="4" s="1"/>
  <c r="Y46" i="4" s="1"/>
  <c r="Y48" i="4" s="1"/>
  <c r="AK41" i="4"/>
  <c r="AK42" i="4" s="1"/>
  <c r="AK44" i="4" s="1"/>
  <c r="AK46" i="4" s="1"/>
  <c r="AK48" i="4" s="1"/>
  <c r="X269" i="1"/>
  <c r="T300" i="1"/>
  <c r="G321" i="4"/>
  <c r="R251" i="1"/>
  <c r="W218" i="1"/>
  <c r="W215" i="1"/>
  <c r="F251" i="1"/>
  <c r="L251" i="1"/>
  <c r="K53" i="4"/>
  <c r="W53" i="4" s="1"/>
  <c r="AI53" i="4" s="1"/>
  <c r="K29" i="4"/>
  <c r="E341" i="4"/>
  <c r="E139" i="4"/>
  <c r="E346" i="4" s="1"/>
  <c r="E10" i="4"/>
  <c r="E322" i="4" s="1"/>
  <c r="N453" i="1"/>
  <c r="O419" i="1"/>
  <c r="N312" i="1"/>
  <c r="L89" i="4"/>
  <c r="L88" i="4" s="1"/>
  <c r="L92" i="4"/>
  <c r="D322" i="4"/>
  <c r="I420" i="1"/>
  <c r="I432" i="1"/>
  <c r="F432" i="1"/>
  <c r="F420" i="1"/>
  <c r="AB269" i="1"/>
  <c r="W306" i="1"/>
  <c r="L294" i="1"/>
  <c r="K89" i="4"/>
  <c r="K88" i="4" s="1"/>
  <c r="K92" i="4"/>
  <c r="E18" i="4"/>
  <c r="Q17" i="4"/>
  <c r="AD251" i="1"/>
  <c r="M218" i="1"/>
  <c r="M215" i="1"/>
  <c r="I288" i="1"/>
  <c r="O318" i="1"/>
  <c r="Z312" i="1"/>
  <c r="D269" i="1"/>
  <c r="T306" i="1"/>
  <c r="G432" i="1"/>
  <c r="G420" i="1"/>
  <c r="U263" i="1"/>
  <c r="J300" i="1"/>
  <c r="W420" i="1"/>
  <c r="W432" i="1"/>
  <c r="L288" i="1"/>
  <c r="AD218" i="1"/>
  <c r="AD215" i="1"/>
  <c r="I269" i="1"/>
  <c r="D226" i="1"/>
  <c r="AA251" i="1"/>
  <c r="AE17" i="4"/>
  <c r="AE18" i="4" s="1"/>
  <c r="AE20" i="4" s="1"/>
  <c r="AE22" i="4" s="1"/>
  <c r="AE24" i="4" s="1"/>
  <c r="S18" i="4"/>
  <c r="S20" i="4" s="1"/>
  <c r="S22" i="4" s="1"/>
  <c r="S24" i="4" s="1"/>
  <c r="V257" i="1"/>
  <c r="E215" i="1"/>
  <c r="E218" i="1"/>
  <c r="E16" i="1"/>
  <c r="AB251" i="1"/>
  <c r="G312" i="1"/>
  <c r="Y263" i="1"/>
  <c r="K312" i="1"/>
  <c r="W17" i="4"/>
  <c r="K18" i="4"/>
  <c r="K20" i="4" s="1"/>
  <c r="K22" i="4" s="1"/>
  <c r="K24" i="4" s="1"/>
  <c r="I244" i="1"/>
  <c r="J51" i="1"/>
  <c r="J41" i="1" s="1"/>
  <c r="L50" i="1"/>
  <c r="H230" i="1"/>
  <c r="H227" i="1"/>
  <c r="G53" i="4"/>
  <c r="S53" i="4" s="1"/>
  <c r="AE53" i="4" s="1"/>
  <c r="G29" i="4"/>
  <c r="G215" i="1"/>
  <c r="G218" i="1"/>
  <c r="G16" i="1"/>
  <c r="S218" i="1"/>
  <c r="S215" i="1"/>
  <c r="M420" i="1"/>
  <c r="M432" i="1"/>
  <c r="D284" i="4"/>
  <c r="E276" i="4"/>
  <c r="E280" i="4" s="1"/>
  <c r="O89" i="4"/>
  <c r="O92" i="4"/>
  <c r="T42" i="4"/>
  <c r="T44" i="4" s="1"/>
  <c r="T46" i="4" s="1"/>
  <c r="T48" i="4" s="1"/>
  <c r="AF41" i="4"/>
  <c r="AF42" i="4" s="1"/>
  <c r="AF44" i="4" s="1"/>
  <c r="AF46" i="4" s="1"/>
  <c r="AF48" i="4" s="1"/>
  <c r="H89" i="4"/>
  <c r="H88" i="4" s="1"/>
  <c r="H92" i="4"/>
  <c r="H39" i="1"/>
  <c r="H29" i="1" s="1"/>
  <c r="H221" i="1" s="1"/>
  <c r="H220" i="1" s="1"/>
  <c r="J38" i="1"/>
  <c r="L215" i="1"/>
  <c r="L218" i="1"/>
  <c r="D251" i="1"/>
  <c r="S312" i="1"/>
  <c r="V420" i="1"/>
  <c r="V432" i="1"/>
  <c r="F269" i="1"/>
  <c r="E300" i="1"/>
  <c r="M53" i="4"/>
  <c r="Y53" i="4" s="1"/>
  <c r="AK53" i="4" s="1"/>
  <c r="M29" i="4"/>
  <c r="H251" i="1"/>
  <c r="E67" i="4"/>
  <c r="D232" i="1"/>
  <c r="Z257" i="1"/>
  <c r="L318" i="1"/>
  <c r="M318" i="1"/>
  <c r="D96" i="4"/>
  <c r="AA218" i="1"/>
  <c r="AA215" i="1"/>
  <c r="K218" i="1"/>
  <c r="K215" i="1"/>
  <c r="X275" i="1"/>
  <c r="L292" i="4"/>
  <c r="L293" i="4" s="1"/>
  <c r="L87" i="4"/>
  <c r="L86" i="4"/>
  <c r="L84" i="4"/>
  <c r="L83" i="4"/>
  <c r="L40" i="4"/>
  <c r="AA306" i="1"/>
  <c r="S318" i="1"/>
  <c r="R288" i="1"/>
  <c r="O300" i="1"/>
  <c r="Q312" i="1"/>
  <c r="H162" i="4"/>
  <c r="H166" i="4"/>
  <c r="H167" i="4" s="1"/>
  <c r="I165" i="4" s="1"/>
  <c r="Q294" i="1"/>
  <c r="N306" i="1"/>
  <c r="R294" i="1"/>
  <c r="F275" i="1"/>
  <c r="AD432" i="1"/>
  <c r="AD420" i="1"/>
  <c r="H292" i="4"/>
  <c r="H293" i="4" s="1"/>
  <c r="H87" i="4"/>
  <c r="H86" i="4"/>
  <c r="H84" i="4"/>
  <c r="H83" i="4"/>
  <c r="H40" i="4"/>
  <c r="E432" i="1"/>
  <c r="E420" i="1"/>
  <c r="G251" i="1"/>
  <c r="T432" i="1"/>
  <c r="T420" i="1"/>
  <c r="AC215" i="1"/>
  <c r="AC218" i="1"/>
  <c r="E226" i="1"/>
  <c r="R281" i="1"/>
  <c r="P300" i="1"/>
  <c r="O306" i="1"/>
  <c r="O18" i="4"/>
  <c r="O20" i="4" s="1"/>
  <c r="O22" i="4" s="1"/>
  <c r="O24" i="4" s="1"/>
  <c r="AA17" i="4"/>
  <c r="F244" i="1"/>
  <c r="G287" i="1" l="1"/>
  <c r="G331" i="1" s="1"/>
  <c r="G332" i="1" s="1"/>
  <c r="E287" i="1"/>
  <c r="E331" i="1" s="1"/>
  <c r="E332" i="1" s="1"/>
  <c r="AD287" i="1"/>
  <c r="AD331" i="1" s="1"/>
  <c r="AD332" i="1" s="1"/>
  <c r="H287" i="1"/>
  <c r="H331" i="1" s="1"/>
  <c r="H332" i="1" s="1"/>
  <c r="X287" i="1"/>
  <c r="X331" i="1" s="1"/>
  <c r="X332" i="1" s="1"/>
  <c r="U287" i="1"/>
  <c r="U331" i="1" s="1"/>
  <c r="U332" i="1" s="1"/>
  <c r="AB287" i="1"/>
  <c r="AB331" i="1" s="1"/>
  <c r="AB332" i="1" s="1"/>
  <c r="R287" i="1"/>
  <c r="R331" i="1" s="1"/>
  <c r="R332" i="1" s="1"/>
  <c r="Y287" i="1"/>
  <c r="Y331" i="1" s="1"/>
  <c r="Y332" i="1" s="1"/>
  <c r="J287" i="1"/>
  <c r="J331" i="1" s="1"/>
  <c r="J332" i="1" s="1"/>
  <c r="K287" i="1"/>
  <c r="K331" i="1" s="1"/>
  <c r="K332" i="1" s="1"/>
  <c r="S287" i="1"/>
  <c r="S331" i="1" s="1"/>
  <c r="S332" i="1" s="1"/>
  <c r="Q287" i="1"/>
  <c r="Q331" i="1" s="1"/>
  <c r="Q332" i="1" s="1"/>
  <c r="P287" i="1"/>
  <c r="P331" i="1" s="1"/>
  <c r="P332" i="1" s="1"/>
  <c r="Z287" i="1"/>
  <c r="Z331" i="1" s="1"/>
  <c r="Z332" i="1" s="1"/>
  <c r="F214" i="1"/>
  <c r="H226" i="1"/>
  <c r="N250" i="1"/>
  <c r="N329" i="1" s="1"/>
  <c r="N330" i="1" s="1"/>
  <c r="P250" i="1"/>
  <c r="P329" i="1" s="1"/>
  <c r="P330" i="1" s="1"/>
  <c r="AA250" i="1"/>
  <c r="AA329" i="1" s="1"/>
  <c r="AA330" i="1" s="1"/>
  <c r="K238" i="1"/>
  <c r="L250" i="1"/>
  <c r="L329" i="1" s="1"/>
  <c r="L330" i="1" s="1"/>
  <c r="AD250" i="1"/>
  <c r="AD329" i="1" s="1"/>
  <c r="AD330" i="1" s="1"/>
  <c r="O250" i="1"/>
  <c r="O329" i="1" s="1"/>
  <c r="O330" i="1" s="1"/>
  <c r="AB250" i="1"/>
  <c r="AB329" i="1" s="1"/>
  <c r="AB330" i="1" s="1"/>
  <c r="F250" i="1"/>
  <c r="F329" i="1" s="1"/>
  <c r="F330" i="1" s="1"/>
  <c r="E250" i="1"/>
  <c r="E329" i="1" s="1"/>
  <c r="E330" i="1" s="1"/>
  <c r="V250" i="1"/>
  <c r="V329" i="1" s="1"/>
  <c r="V330" i="1" s="1"/>
  <c r="R250" i="1"/>
  <c r="R329" i="1" s="1"/>
  <c r="R330" i="1" s="1"/>
  <c r="H250" i="1"/>
  <c r="H329" i="1" s="1"/>
  <c r="H330" i="1" s="1"/>
  <c r="Q250" i="1"/>
  <c r="Q329" i="1" s="1"/>
  <c r="Q330" i="1" s="1"/>
  <c r="G250" i="1"/>
  <c r="G329" i="1" s="1"/>
  <c r="G330" i="1" s="1"/>
  <c r="M250" i="1"/>
  <c r="M329" i="1" s="1"/>
  <c r="M330" i="1" s="1"/>
  <c r="Z250" i="1"/>
  <c r="Z329" i="1" s="1"/>
  <c r="Z330" i="1" s="1"/>
  <c r="I250" i="1"/>
  <c r="I329" i="1" s="1"/>
  <c r="I330" i="1" s="1"/>
  <c r="T287" i="1"/>
  <c r="T331" i="1" s="1"/>
  <c r="T332" i="1" s="1"/>
  <c r="S250" i="1"/>
  <c r="S329" i="1" s="1"/>
  <c r="S330" i="1" s="1"/>
  <c r="I238" i="1"/>
  <c r="H236" i="1"/>
  <c r="H233" i="1"/>
  <c r="M50" i="1"/>
  <c r="O50" i="1" s="1"/>
  <c r="I233" i="1"/>
  <c r="I236" i="1"/>
  <c r="K63" i="1"/>
  <c r="K53" i="1" s="1"/>
  <c r="M62" i="1"/>
  <c r="O431" i="1"/>
  <c r="O433" i="1" s="1"/>
  <c r="H214" i="1"/>
  <c r="T214" i="1"/>
  <c r="K39" i="1"/>
  <c r="K29" i="1" s="1"/>
  <c r="M38" i="1"/>
  <c r="D214" i="1"/>
  <c r="D213" i="1" s="1"/>
  <c r="D327" i="1" s="1"/>
  <c r="D328" i="1" s="1"/>
  <c r="W214" i="1"/>
  <c r="V214" i="1"/>
  <c r="P214" i="1"/>
  <c r="S214" i="1"/>
  <c r="G214" i="1"/>
  <c r="G213" i="1" s="1"/>
  <c r="G327" i="1" s="1"/>
  <c r="G328" i="1" s="1"/>
  <c r="R214" i="1"/>
  <c r="K26" i="1"/>
  <c r="I27" i="1"/>
  <c r="AD214" i="1"/>
  <c r="I214" i="1"/>
  <c r="D375" i="4"/>
  <c r="E339" i="4"/>
  <c r="D13" i="4"/>
  <c r="R183" i="4"/>
  <c r="R184" i="4" s="1"/>
  <c r="R185" i="4"/>
  <c r="S181" i="4" s="1"/>
  <c r="O88" i="4"/>
  <c r="J87" i="1"/>
  <c r="J77" i="1" s="1"/>
  <c r="L86" i="1"/>
  <c r="G140" i="4"/>
  <c r="G160" i="4"/>
  <c r="J242" i="1"/>
  <c r="J239" i="1"/>
  <c r="G90" i="4"/>
  <c r="G52" i="4"/>
  <c r="G94" i="4"/>
  <c r="G93" i="4"/>
  <c r="G91" i="4"/>
  <c r="G64" i="4"/>
  <c r="AN64" i="4" s="1"/>
  <c r="AN61" i="4"/>
  <c r="E269" i="4"/>
  <c r="F261" i="4"/>
  <c r="Y453" i="1"/>
  <c r="Z419" i="1"/>
  <c r="Z421" i="1" s="1"/>
  <c r="O86" i="1"/>
  <c r="M87" i="1"/>
  <c r="M77" i="1" s="1"/>
  <c r="S292" i="4"/>
  <c r="S293" i="4" s="1"/>
  <c r="S87" i="4"/>
  <c r="S86" i="4"/>
  <c r="S84" i="4"/>
  <c r="S83" i="4"/>
  <c r="S40" i="4"/>
  <c r="E66" i="4"/>
  <c r="E98" i="4"/>
  <c r="E99" i="4" s="1"/>
  <c r="AK292" i="4"/>
  <c r="AK293" i="4" s="1"/>
  <c r="AK86" i="4"/>
  <c r="AK84" i="4"/>
  <c r="AK87" i="4"/>
  <c r="AK83" i="4"/>
  <c r="AK40" i="4"/>
  <c r="H248" i="1"/>
  <c r="H245" i="1"/>
  <c r="F16" i="3"/>
  <c r="E24" i="3"/>
  <c r="F15" i="3" s="1"/>
  <c r="K250" i="1"/>
  <c r="K329" i="1" s="1"/>
  <c r="K330" i="1" s="1"/>
  <c r="H453" i="1"/>
  <c r="I419" i="1"/>
  <c r="I421" i="1" s="1"/>
  <c r="J465" i="1"/>
  <c r="J463" i="1" s="1"/>
  <c r="K431" i="1"/>
  <c r="K433" i="1" s="1"/>
  <c r="T250" i="1"/>
  <c r="T329" i="1" s="1"/>
  <c r="T330" i="1" s="1"/>
  <c r="O287" i="1"/>
  <c r="O331" i="1" s="1"/>
  <c r="O332" i="1" s="1"/>
  <c r="D287" i="1"/>
  <c r="D331" i="1" s="1"/>
  <c r="D332" i="1" s="1"/>
  <c r="Q214" i="1"/>
  <c r="K245" i="1"/>
  <c r="K248" i="1"/>
  <c r="L51" i="1"/>
  <c r="L41" i="1" s="1"/>
  <c r="N50" i="1"/>
  <c r="I287" i="1"/>
  <c r="I331" i="1" s="1"/>
  <c r="I332" i="1" s="1"/>
  <c r="Y292" i="4"/>
  <c r="Y293" i="4" s="1"/>
  <c r="Y87" i="4"/>
  <c r="Y86" i="4"/>
  <c r="Y83" i="4"/>
  <c r="Y84" i="4"/>
  <c r="Y40" i="4"/>
  <c r="M85" i="4"/>
  <c r="M82" i="4"/>
  <c r="M81" i="4" s="1"/>
  <c r="M102" i="4" s="1"/>
  <c r="M103" i="4" s="1"/>
  <c r="M51" i="4"/>
  <c r="I431" i="1"/>
  <c r="I433" i="1" s="1"/>
  <c r="H465" i="1"/>
  <c r="H463" i="1" s="1"/>
  <c r="J453" i="1"/>
  <c r="K419" i="1"/>
  <c r="K421" i="1" s="1"/>
  <c r="E419" i="1"/>
  <c r="E421" i="1" s="1"/>
  <c r="D453" i="1"/>
  <c r="D421" i="1"/>
  <c r="W287" i="1"/>
  <c r="W331" i="1" s="1"/>
  <c r="W332" i="1" s="1"/>
  <c r="J104" i="4"/>
  <c r="J343" i="4" s="1"/>
  <c r="J106" i="4"/>
  <c r="AB419" i="1"/>
  <c r="AB421" i="1" s="1"/>
  <c r="AA453" i="1"/>
  <c r="AC453" i="1"/>
  <c r="AD419" i="1"/>
  <c r="AD421" i="1" s="1"/>
  <c r="V292" i="4"/>
  <c r="V293" i="4" s="1"/>
  <c r="V40" i="4"/>
  <c r="V86" i="4"/>
  <c r="V87" i="4"/>
  <c r="V84" i="4"/>
  <c r="V83" i="4"/>
  <c r="L30" i="4"/>
  <c r="L32" i="4" s="1"/>
  <c r="L34" i="4" s="1"/>
  <c r="L36" i="4" s="1"/>
  <c r="X29" i="4"/>
  <c r="U419" i="1"/>
  <c r="U421" i="1" s="1"/>
  <c r="T453" i="1"/>
  <c r="K214" i="1"/>
  <c r="Y29" i="4"/>
  <c r="M30" i="4"/>
  <c r="M32" i="4" s="1"/>
  <c r="M34" i="4" s="1"/>
  <c r="M36" i="4" s="1"/>
  <c r="J39" i="1"/>
  <c r="J29" i="1" s="1"/>
  <c r="L38" i="1"/>
  <c r="J227" i="1"/>
  <c r="J230" i="1"/>
  <c r="E15" i="1"/>
  <c r="L287" i="1"/>
  <c r="L331" i="1" s="1"/>
  <c r="L332" i="1" s="1"/>
  <c r="F453" i="1"/>
  <c r="G419" i="1"/>
  <c r="G421" i="1" s="1"/>
  <c r="F15" i="1"/>
  <c r="I51" i="4"/>
  <c r="I85" i="4"/>
  <c r="I82" i="4"/>
  <c r="AG292" i="4"/>
  <c r="AG293" i="4" s="1"/>
  <c r="AG87" i="4"/>
  <c r="AG86" i="4"/>
  <c r="AG84" i="4"/>
  <c r="AG83" i="4"/>
  <c r="AG40" i="4"/>
  <c r="D433" i="1"/>
  <c r="D465" i="1"/>
  <c r="D463" i="1" s="1"/>
  <c r="E431" i="1"/>
  <c r="E433" i="1" s="1"/>
  <c r="E271" i="4"/>
  <c r="E259" i="4"/>
  <c r="O277" i="4"/>
  <c r="O278" i="4" s="1"/>
  <c r="O132" i="4"/>
  <c r="O77" i="4"/>
  <c r="O80" i="4"/>
  <c r="O79" i="4"/>
  <c r="O76" i="4"/>
  <c r="O28" i="4"/>
  <c r="J214" i="1"/>
  <c r="N82" i="4"/>
  <c r="N81" i="4" s="1"/>
  <c r="N102" i="4" s="1"/>
  <c r="N103" i="4" s="1"/>
  <c r="N85" i="4"/>
  <c r="N51" i="4"/>
  <c r="L262" i="4"/>
  <c r="L263" i="4" s="1"/>
  <c r="L73" i="4"/>
  <c r="L105" i="4"/>
  <c r="L70" i="4"/>
  <c r="L72" i="4"/>
  <c r="L16" i="4"/>
  <c r="L69" i="4"/>
  <c r="AB431" i="1"/>
  <c r="AB433" i="1" s="1"/>
  <c r="AA465" i="1"/>
  <c r="AA463" i="1" s="1"/>
  <c r="AC465" i="1"/>
  <c r="AC463" i="1" s="1"/>
  <c r="AD431" i="1"/>
  <c r="AD433" i="1" s="1"/>
  <c r="AH292" i="4"/>
  <c r="AH293" i="4" s="1"/>
  <c r="AH87" i="4"/>
  <c r="AH86" i="4"/>
  <c r="AH40" i="4"/>
  <c r="AH84" i="4"/>
  <c r="AH83" i="4"/>
  <c r="AB214" i="1"/>
  <c r="F287" i="1"/>
  <c r="F331" i="1" s="1"/>
  <c r="F332" i="1" s="1"/>
  <c r="V287" i="1"/>
  <c r="V331" i="1" s="1"/>
  <c r="V332" i="1" s="1"/>
  <c r="J250" i="1"/>
  <c r="J329" i="1" s="1"/>
  <c r="J330" i="1" s="1"/>
  <c r="Y214" i="1"/>
  <c r="W465" i="1"/>
  <c r="W463" i="1" s="1"/>
  <c r="X431" i="1"/>
  <c r="X433" i="1" s="1"/>
  <c r="M214" i="1"/>
  <c r="G431" i="1"/>
  <c r="G433" i="1" s="1"/>
  <c r="F465" i="1"/>
  <c r="F463" i="1" s="1"/>
  <c r="F213" i="1"/>
  <c r="F327" i="1" s="1"/>
  <c r="F328" i="1" s="1"/>
  <c r="AC419" i="1"/>
  <c r="AC421" i="1" s="1"/>
  <c r="AB453" i="1"/>
  <c r="U292" i="4"/>
  <c r="U293" i="4" s="1"/>
  <c r="U83" i="4"/>
  <c r="U40" i="4"/>
  <c r="U84" i="4"/>
  <c r="U87" i="4"/>
  <c r="U86" i="4"/>
  <c r="K51" i="4"/>
  <c r="K85" i="4"/>
  <c r="K82" i="4"/>
  <c r="N262" i="4"/>
  <c r="N263" i="4" s="1"/>
  <c r="N105" i="4"/>
  <c r="N70" i="4"/>
  <c r="N73" i="4"/>
  <c r="N72" i="4"/>
  <c r="N16" i="4"/>
  <c r="N69" i="4"/>
  <c r="AA30" i="4"/>
  <c r="AM29" i="4"/>
  <c r="AM30" i="4" s="1"/>
  <c r="X18" i="4"/>
  <c r="X20" i="4" s="1"/>
  <c r="X22" i="4" s="1"/>
  <c r="X24" i="4" s="1"/>
  <c r="AJ17" i="4"/>
  <c r="AJ18" i="4" s="1"/>
  <c r="AJ20" i="4" s="1"/>
  <c r="AJ22" i="4" s="1"/>
  <c r="AJ24" i="4" s="1"/>
  <c r="AM85" i="4"/>
  <c r="AM82" i="4"/>
  <c r="AM81" i="4" s="1"/>
  <c r="AM102" i="4"/>
  <c r="AM103" i="4" s="1"/>
  <c r="AM51" i="4"/>
  <c r="S453" i="1"/>
  <c r="T419" i="1"/>
  <c r="T421" i="1" s="1"/>
  <c r="O75" i="1"/>
  <c r="O65" i="1" s="1"/>
  <c r="Q74" i="1"/>
  <c r="Y250" i="1"/>
  <c r="Y329" i="1" s="1"/>
  <c r="Y330" i="1" s="1"/>
  <c r="Q30" i="4"/>
  <c r="AC29" i="4"/>
  <c r="AC30" i="4" s="1"/>
  <c r="R189" i="4"/>
  <c r="R190" i="4" s="1"/>
  <c r="R191" i="4" s="1"/>
  <c r="S187" i="4" s="1"/>
  <c r="AL17" i="4"/>
  <c r="AL18" i="4" s="1"/>
  <c r="AL20" i="4" s="1"/>
  <c r="AL22" i="4" s="1"/>
  <c r="AL24" i="4" s="1"/>
  <c r="Z18" i="4"/>
  <c r="Z20" i="4" s="1"/>
  <c r="Z22" i="4" s="1"/>
  <c r="Z24" i="4" s="1"/>
  <c r="T431" i="1"/>
  <c r="T433" i="1" s="1"/>
  <c r="S465" i="1"/>
  <c r="S463" i="1" s="1"/>
  <c r="M239" i="1"/>
  <c r="M242" i="1"/>
  <c r="E314" i="4"/>
  <c r="F306" i="4"/>
  <c r="X214" i="1"/>
  <c r="AN20" i="4"/>
  <c r="E285" i="4"/>
  <c r="E279" i="4"/>
  <c r="G15" i="1"/>
  <c r="W453" i="1"/>
  <c r="X419" i="1"/>
  <c r="X421" i="1" s="1"/>
  <c r="J431" i="1"/>
  <c r="J433" i="1" s="1"/>
  <c r="I465" i="1"/>
  <c r="I463" i="1" s="1"/>
  <c r="O262" i="4"/>
  <c r="O263" i="4" s="1"/>
  <c r="O105" i="4"/>
  <c r="O69" i="4"/>
  <c r="O16" i="4"/>
  <c r="O73" i="4"/>
  <c r="O70" i="4"/>
  <c r="O72" i="4"/>
  <c r="F419" i="1"/>
  <c r="F421" i="1" s="1"/>
  <c r="E453" i="1"/>
  <c r="L85" i="4"/>
  <c r="L82" i="4"/>
  <c r="L51" i="4"/>
  <c r="AA214" i="1"/>
  <c r="E275" i="4"/>
  <c r="D286" i="4"/>
  <c r="D274" i="4"/>
  <c r="K262" i="4"/>
  <c r="K263" i="4" s="1"/>
  <c r="K73" i="4"/>
  <c r="K69" i="4"/>
  <c r="K70" i="4"/>
  <c r="K72" i="4"/>
  <c r="K16" i="4"/>
  <c r="K105" i="4"/>
  <c r="I453" i="1"/>
  <c r="J419" i="1"/>
  <c r="J421" i="1" s="1"/>
  <c r="E39" i="3"/>
  <c r="F30" i="3" s="1"/>
  <c r="F31" i="3"/>
  <c r="F35" i="3" s="1"/>
  <c r="R292" i="4"/>
  <c r="R293" i="4" s="1"/>
  <c r="R87" i="4"/>
  <c r="R86" i="4"/>
  <c r="R84" i="4"/>
  <c r="R83" i="4"/>
  <c r="R40" i="4"/>
  <c r="D299" i="4"/>
  <c r="E291" i="4"/>
  <c r="H16" i="1"/>
  <c r="H177" i="4"/>
  <c r="H178" i="4" s="1"/>
  <c r="H179" i="4" s="1"/>
  <c r="I175" i="4" s="1"/>
  <c r="R30" i="4"/>
  <c r="AD29" i="4"/>
  <c r="AD30" i="4" s="1"/>
  <c r="U250" i="1"/>
  <c r="U329" i="1" s="1"/>
  <c r="U330" i="1" s="1"/>
  <c r="D15" i="1"/>
  <c r="U18" i="4"/>
  <c r="U20" i="4" s="1"/>
  <c r="U22" i="4" s="1"/>
  <c r="U24" i="4" s="1"/>
  <c r="AG17" i="4"/>
  <c r="AG18" i="4" s="1"/>
  <c r="AG20" i="4" s="1"/>
  <c r="AG22" i="4" s="1"/>
  <c r="AG24" i="4" s="1"/>
  <c r="AC250" i="1"/>
  <c r="AC329" i="1" s="1"/>
  <c r="AC330" i="1" s="1"/>
  <c r="L236" i="1"/>
  <c r="L233" i="1"/>
  <c r="R18" i="4"/>
  <c r="R20" i="4" s="1"/>
  <c r="R22" i="4" s="1"/>
  <c r="R24" i="4" s="1"/>
  <c r="AD17" i="4"/>
  <c r="AD18" i="4" s="1"/>
  <c r="AD20" i="4" s="1"/>
  <c r="AD22" i="4" s="1"/>
  <c r="AD24" i="4" s="1"/>
  <c r="Z29" i="4"/>
  <c r="N30" i="4"/>
  <c r="N32" i="4" s="1"/>
  <c r="N34" i="4" s="1"/>
  <c r="N36" i="4" s="1"/>
  <c r="G24" i="4"/>
  <c r="AN22" i="4"/>
  <c r="AC214" i="1"/>
  <c r="AA18" i="4"/>
  <c r="AA20" i="4" s="1"/>
  <c r="AA22" i="4" s="1"/>
  <c r="AA24" i="4" s="1"/>
  <c r="AM17" i="4"/>
  <c r="AM18" i="4" s="1"/>
  <c r="AM20" i="4" s="1"/>
  <c r="AM22" i="4" s="1"/>
  <c r="AM24" i="4" s="1"/>
  <c r="AB41" i="4"/>
  <c r="AB42" i="4" s="1"/>
  <c r="AB44" i="4" s="1"/>
  <c r="AB46" i="4" s="1"/>
  <c r="AB48" i="4" s="1"/>
  <c r="P42" i="4"/>
  <c r="P44" i="4" s="1"/>
  <c r="P46" i="4" s="1"/>
  <c r="P48" i="4" s="1"/>
  <c r="Q419" i="1"/>
  <c r="Q421" i="1" s="1"/>
  <c r="P453" i="1"/>
  <c r="U29" i="4"/>
  <c r="I30" i="4"/>
  <c r="I32" i="4" s="1"/>
  <c r="I34" i="4" s="1"/>
  <c r="I36" i="4" s="1"/>
  <c r="I15" i="1"/>
  <c r="R453" i="1"/>
  <c r="S419" i="1"/>
  <c r="S421" i="1" s="1"/>
  <c r="AA287" i="1"/>
  <c r="AA331" i="1" s="1"/>
  <c r="AA332" i="1" s="1"/>
  <c r="AL292" i="4"/>
  <c r="AL293" i="4" s="1"/>
  <c r="AL87" i="4"/>
  <c r="AL83" i="4"/>
  <c r="AL40" i="4"/>
  <c r="AL86" i="4"/>
  <c r="AL84" i="4"/>
  <c r="I262" i="4"/>
  <c r="I263" i="4" s="1"/>
  <c r="I105" i="4"/>
  <c r="I72" i="4"/>
  <c r="I69" i="4"/>
  <c r="I73" i="4"/>
  <c r="I70" i="4"/>
  <c r="I16" i="4"/>
  <c r="N63" i="1"/>
  <c r="N53" i="1" s="1"/>
  <c r="P62" i="1"/>
  <c r="AN53" i="4"/>
  <c r="P53" i="4"/>
  <c r="AB53" i="4" s="1"/>
  <c r="K465" i="1"/>
  <c r="K463" i="1" s="1"/>
  <c r="L431" i="1"/>
  <c r="L433" i="1" s="1"/>
  <c r="L214" i="1"/>
  <c r="AD453" i="1"/>
  <c r="AD465" i="1"/>
  <c r="AD463" i="1" s="1"/>
  <c r="AD292" i="4"/>
  <c r="AD293" i="4" s="1"/>
  <c r="AD87" i="4"/>
  <c r="AD86" i="4"/>
  <c r="AD84" i="4"/>
  <c r="AD83" i="4"/>
  <c r="AD40" i="4"/>
  <c r="F431" i="1"/>
  <c r="F433" i="1" s="1"/>
  <c r="E465" i="1"/>
  <c r="E463" i="1" s="1"/>
  <c r="V465" i="1"/>
  <c r="V463" i="1" s="1"/>
  <c r="W431" i="1"/>
  <c r="W433" i="1" s="1"/>
  <c r="W18" i="4"/>
  <c r="W20" i="4" s="1"/>
  <c r="W22" i="4" s="1"/>
  <c r="W24" i="4" s="1"/>
  <c r="AI17" i="4"/>
  <c r="AI18" i="4" s="1"/>
  <c r="AI20" i="4" s="1"/>
  <c r="AI22" i="4" s="1"/>
  <c r="AI24" i="4" s="1"/>
  <c r="S73" i="4"/>
  <c r="S72" i="4"/>
  <c r="S70" i="4"/>
  <c r="S69" i="4"/>
  <c r="S262" i="4"/>
  <c r="S263" i="4" s="1"/>
  <c r="S105" i="4"/>
  <c r="S16" i="4"/>
  <c r="D120" i="4"/>
  <c r="D97" i="4"/>
  <c r="D11" i="4" s="1"/>
  <c r="V453" i="1"/>
  <c r="W419" i="1"/>
  <c r="W421" i="1" s="1"/>
  <c r="M465" i="1"/>
  <c r="M463" i="1" s="1"/>
  <c r="N431" i="1"/>
  <c r="N433" i="1" s="1"/>
  <c r="AE262" i="4"/>
  <c r="AE263" i="4" s="1"/>
  <c r="AE105" i="4"/>
  <c r="AE73" i="4"/>
  <c r="AE72" i="4"/>
  <c r="AE70" i="4"/>
  <c r="AE69" i="4"/>
  <c r="AE16" i="4"/>
  <c r="G453" i="1"/>
  <c r="H419" i="1"/>
  <c r="H421" i="1" s="1"/>
  <c r="Q18" i="4"/>
  <c r="Q20" i="4" s="1"/>
  <c r="Q22" i="4" s="1"/>
  <c r="Q24" i="4" s="1"/>
  <c r="AC17" i="4"/>
  <c r="AC18" i="4" s="1"/>
  <c r="AC20" i="4" s="1"/>
  <c r="AC22" i="4" s="1"/>
  <c r="AC24" i="4" s="1"/>
  <c r="M287" i="1"/>
  <c r="M331" i="1" s="1"/>
  <c r="M332" i="1" s="1"/>
  <c r="P465" i="1"/>
  <c r="P463" i="1" s="1"/>
  <c r="Q431" i="1"/>
  <c r="Q433" i="1" s="1"/>
  <c r="AF262" i="4"/>
  <c r="AF263" i="4" s="1"/>
  <c r="AF73" i="4"/>
  <c r="AF72" i="4"/>
  <c r="AF105" i="4"/>
  <c r="AF16" i="4"/>
  <c r="AF70" i="4"/>
  <c r="AF69" i="4"/>
  <c r="S431" i="1"/>
  <c r="S433" i="1" s="1"/>
  <c r="R465" i="1"/>
  <c r="R463" i="1" s="1"/>
  <c r="Q453" i="1"/>
  <c r="R419" i="1"/>
  <c r="R421" i="1" s="1"/>
  <c r="Z292" i="4"/>
  <c r="Z293" i="4" s="1"/>
  <c r="Z87" i="4"/>
  <c r="Z86" i="4"/>
  <c r="Z84" i="4"/>
  <c r="Z83" i="4"/>
  <c r="Z40" i="4"/>
  <c r="AH262" i="4"/>
  <c r="AH263" i="4" s="1"/>
  <c r="AH105" i="4"/>
  <c r="AH72" i="4"/>
  <c r="AH69" i="4"/>
  <c r="AH73" i="4"/>
  <c r="AH16" i="4"/>
  <c r="AH70" i="4"/>
  <c r="O82" i="4"/>
  <c r="O81" i="4" s="1"/>
  <c r="O102" i="4" s="1"/>
  <c r="O103" i="4" s="1"/>
  <c r="O85" i="4"/>
  <c r="O51" i="4"/>
  <c r="X465" i="1"/>
  <c r="X463" i="1" s="1"/>
  <c r="Y431" i="1"/>
  <c r="Y433" i="1" s="1"/>
  <c r="D30" i="4"/>
  <c r="P29" i="4"/>
  <c r="AJ292" i="4"/>
  <c r="AJ293" i="4" s="1"/>
  <c r="AJ86" i="4"/>
  <c r="AJ84" i="4"/>
  <c r="AJ87" i="4"/>
  <c r="AJ83" i="4"/>
  <c r="AJ40" i="4"/>
  <c r="K453" i="1"/>
  <c r="L419" i="1"/>
  <c r="L421" i="1" s="1"/>
  <c r="W292" i="4"/>
  <c r="W293" i="4" s="1"/>
  <c r="W87" i="4"/>
  <c r="W86" i="4"/>
  <c r="W84" i="4"/>
  <c r="W83" i="4"/>
  <c r="W40" i="4"/>
  <c r="U431" i="1"/>
  <c r="U433" i="1" s="1"/>
  <c r="T465" i="1"/>
  <c r="T463" i="1" s="1"/>
  <c r="J30" i="4"/>
  <c r="J32" i="4" s="1"/>
  <c r="J34" i="4" s="1"/>
  <c r="J36" i="4" s="1"/>
  <c r="V29" i="4"/>
  <c r="E26" i="3"/>
  <c r="W250" i="1"/>
  <c r="W329" i="1" s="1"/>
  <c r="W330" i="1" s="1"/>
  <c r="T262" i="4"/>
  <c r="T263" i="4" s="1"/>
  <c r="T73" i="4"/>
  <c r="T72" i="4"/>
  <c r="T105" i="4"/>
  <c r="T16" i="4"/>
  <c r="T69" i="4"/>
  <c r="T70" i="4"/>
  <c r="O453" i="1"/>
  <c r="P419" i="1"/>
  <c r="P421" i="1" s="1"/>
  <c r="O421" i="1"/>
  <c r="Q465" i="1"/>
  <c r="Q463" i="1" s="1"/>
  <c r="R431" i="1"/>
  <c r="R433" i="1" s="1"/>
  <c r="V262" i="4"/>
  <c r="V263" i="4" s="1"/>
  <c r="V73" i="4"/>
  <c r="V69" i="4"/>
  <c r="V105" i="4"/>
  <c r="V72" i="4"/>
  <c r="V16" i="4"/>
  <c r="V70" i="4"/>
  <c r="J68" i="4"/>
  <c r="J27" i="4"/>
  <c r="J71" i="4"/>
  <c r="M262" i="4"/>
  <c r="M263" i="4" s="1"/>
  <c r="M105" i="4"/>
  <c r="M70" i="4"/>
  <c r="M73" i="4"/>
  <c r="M69" i="4"/>
  <c r="M16" i="4"/>
  <c r="M72" i="4"/>
  <c r="X453" i="1"/>
  <c r="Y419" i="1"/>
  <c r="Y421" i="1" s="1"/>
  <c r="N88" i="4"/>
  <c r="J85" i="4"/>
  <c r="J82" i="4"/>
  <c r="J51" i="4"/>
  <c r="X292" i="4"/>
  <c r="X293" i="4" s="1"/>
  <c r="X87" i="4"/>
  <c r="X86" i="4"/>
  <c r="X84" i="4"/>
  <c r="X83" i="4"/>
  <c r="X40" i="4"/>
  <c r="L27" i="1"/>
  <c r="N26" i="1"/>
  <c r="L75" i="1"/>
  <c r="L65" i="1" s="1"/>
  <c r="N74" i="1"/>
  <c r="E214" i="1"/>
  <c r="E213" i="1" s="1"/>
  <c r="F321" i="4"/>
  <c r="F323" i="4" s="1"/>
  <c r="AB465" i="1"/>
  <c r="AB463" i="1" s="1"/>
  <c r="AC431" i="1"/>
  <c r="AC433" i="1" s="1"/>
  <c r="H102" i="4"/>
  <c r="H103" i="4" s="1"/>
  <c r="H85" i="4"/>
  <c r="H82" i="4"/>
  <c r="H81" i="4" s="1"/>
  <c r="H51" i="4"/>
  <c r="AF292" i="4"/>
  <c r="AF293" i="4" s="1"/>
  <c r="AF87" i="4"/>
  <c r="AF86" i="4"/>
  <c r="AF40" i="4"/>
  <c r="AF84" i="4"/>
  <c r="AF83" i="4"/>
  <c r="M453" i="1"/>
  <c r="N419" i="1"/>
  <c r="N421" i="1" s="1"/>
  <c r="K230" i="1"/>
  <c r="K227" i="1"/>
  <c r="H431" i="1"/>
  <c r="H433" i="1" s="1"/>
  <c r="G465" i="1"/>
  <c r="G463" i="1" s="1"/>
  <c r="E321" i="4"/>
  <c r="E323" i="4" s="1"/>
  <c r="D323" i="4"/>
  <c r="D256" i="4" s="1"/>
  <c r="K30" i="4"/>
  <c r="K32" i="4" s="1"/>
  <c r="K34" i="4" s="1"/>
  <c r="K36" i="4" s="1"/>
  <c r="W29" i="4"/>
  <c r="H30" i="4"/>
  <c r="H32" i="4" s="1"/>
  <c r="H34" i="4" s="1"/>
  <c r="H36" i="4" s="1"/>
  <c r="T29" i="4"/>
  <c r="I162" i="4"/>
  <c r="I166" i="4"/>
  <c r="I167" i="4" s="1"/>
  <c r="J165" i="4" s="1"/>
  <c r="D250" i="1"/>
  <c r="D329" i="1" s="1"/>
  <c r="D330" i="1" s="1"/>
  <c r="T292" i="4"/>
  <c r="T293" i="4" s="1"/>
  <c r="T83" i="4"/>
  <c r="T40" i="4"/>
  <c r="T87" i="4"/>
  <c r="T84" i="4"/>
  <c r="T86" i="4"/>
  <c r="G30" i="4"/>
  <c r="G32" i="4" s="1"/>
  <c r="S29" i="4"/>
  <c r="AI292" i="4"/>
  <c r="AI293" i="4" s="1"/>
  <c r="AI40" i="4"/>
  <c r="AI86" i="4"/>
  <c r="AI84" i="4"/>
  <c r="AI87" i="4"/>
  <c r="AI83" i="4"/>
  <c r="P17" i="4"/>
  <c r="D18" i="4"/>
  <c r="AN18" i="4" s="1"/>
  <c r="X250" i="1"/>
  <c r="X329" i="1" s="1"/>
  <c r="X330" i="1" s="1"/>
  <c r="AA431" i="1"/>
  <c r="AA433" i="1" s="1"/>
  <c r="Z465" i="1"/>
  <c r="Z463" i="1" s="1"/>
  <c r="O465" i="1"/>
  <c r="O463" i="1" s="1"/>
  <c r="P431" i="1"/>
  <c r="P433" i="1" s="1"/>
  <c r="H262" i="4"/>
  <c r="H263" i="4" s="1"/>
  <c r="H73" i="4"/>
  <c r="H72" i="4"/>
  <c r="H105" i="4"/>
  <c r="H16" i="4"/>
  <c r="H69" i="4"/>
  <c r="H70" i="4"/>
  <c r="V431" i="1"/>
  <c r="V433" i="1" s="1"/>
  <c r="U465" i="1"/>
  <c r="U463" i="1" s="1"/>
  <c r="F342" i="4"/>
  <c r="F340" i="4" s="1"/>
  <c r="F96" i="4"/>
  <c r="E54" i="3"/>
  <c r="E56" i="3" s="1"/>
  <c r="F46" i="3"/>
  <c r="AK17" i="4"/>
  <c r="AK18" i="4" s="1"/>
  <c r="AK20" i="4" s="1"/>
  <c r="AK22" i="4" s="1"/>
  <c r="AK24" i="4" s="1"/>
  <c r="Y18" i="4"/>
  <c r="Y20" i="4" s="1"/>
  <c r="Y22" i="4" s="1"/>
  <c r="Y24" i="4" s="1"/>
  <c r="AC292" i="4"/>
  <c r="AC293" i="4" s="1"/>
  <c r="AC87" i="4"/>
  <c r="AC86" i="4"/>
  <c r="AC84" i="4"/>
  <c r="AC83" i="4"/>
  <c r="AC40" i="4"/>
  <c r="N287" i="1"/>
  <c r="N331" i="1" s="1"/>
  <c r="N332" i="1" s="1"/>
  <c r="L465" i="1"/>
  <c r="L463" i="1" s="1"/>
  <c r="M431" i="1"/>
  <c r="M433" i="1" s="1"/>
  <c r="Z453" i="1"/>
  <c r="AA419" i="1"/>
  <c r="AA421" i="1" s="1"/>
  <c r="AC287" i="1"/>
  <c r="AC331" i="1" s="1"/>
  <c r="AC332" i="1" s="1"/>
  <c r="U453" i="1"/>
  <c r="V419" i="1"/>
  <c r="V421" i="1" s="1"/>
  <c r="Y465" i="1"/>
  <c r="Y463" i="1" s="1"/>
  <c r="Z431" i="1"/>
  <c r="Z433" i="1" s="1"/>
  <c r="J88" i="4"/>
  <c r="G48" i="4"/>
  <c r="AN46" i="4"/>
  <c r="AA102" i="4"/>
  <c r="AA103" i="4" s="1"/>
  <c r="AA85" i="4"/>
  <c r="AA82" i="4"/>
  <c r="AA81" i="4" s="1"/>
  <c r="AA51" i="4"/>
  <c r="Q292" i="4"/>
  <c r="Q293" i="4" s="1"/>
  <c r="Q87" i="4"/>
  <c r="Q86" i="4"/>
  <c r="Q84" i="4"/>
  <c r="Q83" i="4"/>
  <c r="Q40" i="4"/>
  <c r="AE292" i="4"/>
  <c r="AE293" i="4" s="1"/>
  <c r="AE87" i="4"/>
  <c r="AE86" i="4"/>
  <c r="AE84" i="4"/>
  <c r="AE83" i="4"/>
  <c r="AE40" i="4"/>
  <c r="L453" i="1"/>
  <c r="M419" i="1"/>
  <c r="M421" i="1" s="1"/>
  <c r="H232" i="1" l="1"/>
  <c r="M51" i="1"/>
  <c r="M41" i="1" s="1"/>
  <c r="M227" i="1" s="1"/>
  <c r="E212" i="1"/>
  <c r="E325" i="1" s="1"/>
  <c r="K233" i="1"/>
  <c r="K236" i="1"/>
  <c r="O62" i="1"/>
  <c r="M63" i="1"/>
  <c r="M53" i="1" s="1"/>
  <c r="L232" i="1"/>
  <c r="I232" i="1"/>
  <c r="I213" i="1" s="1"/>
  <c r="J226" i="1"/>
  <c r="O38" i="1"/>
  <c r="M39" i="1"/>
  <c r="M29" i="1" s="1"/>
  <c r="M221" i="1" s="1"/>
  <c r="M220" i="1" s="1"/>
  <c r="K221" i="1"/>
  <c r="K220" i="1" s="1"/>
  <c r="K16" i="1"/>
  <c r="K15" i="1" s="1"/>
  <c r="K334" i="1" s="1"/>
  <c r="K333" i="1" s="1"/>
  <c r="G212" i="1"/>
  <c r="G325" i="1" s="1"/>
  <c r="K27" i="1"/>
  <c r="M26" i="1"/>
  <c r="S189" i="4"/>
  <c r="S190" i="4" s="1"/>
  <c r="S191" i="4" s="1"/>
  <c r="T187" i="4" s="1"/>
  <c r="I179" i="4"/>
  <c r="J175" i="4" s="1"/>
  <c r="I177" i="4"/>
  <c r="I178" i="4" s="1"/>
  <c r="G292" i="4"/>
  <c r="G293" i="4" s="1"/>
  <c r="G87" i="4"/>
  <c r="G86" i="4"/>
  <c r="G84" i="4"/>
  <c r="G83" i="4"/>
  <c r="G40" i="4"/>
  <c r="AN48" i="4"/>
  <c r="AI85" i="4"/>
  <c r="AI51" i="4"/>
  <c r="AI82" i="4"/>
  <c r="AI81" i="4" s="1"/>
  <c r="AI102" i="4" s="1"/>
  <c r="AI103" i="4" s="1"/>
  <c r="N27" i="1"/>
  <c r="P26" i="1"/>
  <c r="AF71" i="4"/>
  <c r="AF68" i="4"/>
  <c r="AF27" i="4"/>
  <c r="D136" i="4"/>
  <c r="D121" i="4"/>
  <c r="D301" i="4"/>
  <c r="D289" i="4"/>
  <c r="Q75" i="1"/>
  <c r="Q65" i="1" s="1"/>
  <c r="S74" i="1"/>
  <c r="AM32" i="4"/>
  <c r="AM34" i="4" s="1"/>
  <c r="AM36" i="4" s="1"/>
  <c r="AM55" i="4"/>
  <c r="AM57" i="4" s="1"/>
  <c r="AM59" i="4" s="1"/>
  <c r="AM61" i="4" s="1"/>
  <c r="AC262" i="4"/>
  <c r="AC263" i="4" s="1"/>
  <c r="AC105" i="4"/>
  <c r="AC16" i="4"/>
  <c r="AC73" i="4"/>
  <c r="AC70" i="4"/>
  <c r="AC69" i="4"/>
  <c r="AC72" i="4"/>
  <c r="AB292" i="4"/>
  <c r="AB293" i="4" s="1"/>
  <c r="AB87" i="4"/>
  <c r="AB86" i="4"/>
  <c r="AB84" i="4"/>
  <c r="AB83" i="4"/>
  <c r="AB40" i="4"/>
  <c r="W85" i="4"/>
  <c r="W82" i="4"/>
  <c r="W81" i="4" s="1"/>
  <c r="W102" i="4" s="1"/>
  <c r="W103" i="4" s="1"/>
  <c r="W51" i="4"/>
  <c r="AF106" i="4"/>
  <c r="AF104" i="4"/>
  <c r="AF343" i="4" s="1"/>
  <c r="Q262" i="4"/>
  <c r="Q263" i="4" s="1"/>
  <c r="Q105" i="4"/>
  <c r="Q72" i="4"/>
  <c r="Q16" i="4"/>
  <c r="Q70" i="4"/>
  <c r="Q69" i="4"/>
  <c r="Q73" i="4"/>
  <c r="P63" i="1"/>
  <c r="P53" i="1" s="1"/>
  <c r="R62" i="1"/>
  <c r="AM105" i="4"/>
  <c r="AM262" i="4"/>
  <c r="AM263" i="4" s="1"/>
  <c r="AM73" i="4"/>
  <c r="AM70" i="4"/>
  <c r="AM72" i="4"/>
  <c r="AM69" i="4"/>
  <c r="AM16" i="4"/>
  <c r="AG262" i="4"/>
  <c r="AG263" i="4" s="1"/>
  <c r="AG105" i="4"/>
  <c r="AG72" i="4"/>
  <c r="AG69" i="4"/>
  <c r="AG16" i="4"/>
  <c r="AG73" i="4"/>
  <c r="AG70" i="4"/>
  <c r="R85" i="4"/>
  <c r="R82" i="4"/>
  <c r="R81" i="4" s="1"/>
  <c r="R102" i="4"/>
  <c r="R103" i="4" s="1"/>
  <c r="R51" i="4"/>
  <c r="K104" i="4"/>
  <c r="K343" i="4" s="1"/>
  <c r="K106" i="4"/>
  <c r="L81" i="4"/>
  <c r="L102" i="4" s="1"/>
  <c r="L103" i="4" s="1"/>
  <c r="O106" i="4"/>
  <c r="O104" i="4"/>
  <c r="O343" i="4" s="1"/>
  <c r="E284" i="4"/>
  <c r="F275" i="4" s="1"/>
  <c r="F276" i="4"/>
  <c r="F280" i="4" s="1"/>
  <c r="O239" i="1"/>
  <c r="O242" i="1"/>
  <c r="AA32" i="4"/>
  <c r="AA34" i="4" s="1"/>
  <c r="AA36" i="4" s="1"/>
  <c r="AA55" i="4"/>
  <c r="AA57" i="4" s="1"/>
  <c r="AA59" i="4" s="1"/>
  <c r="AA61" i="4" s="1"/>
  <c r="L39" i="1"/>
  <c r="L29" i="1" s="1"/>
  <c r="N38" i="1"/>
  <c r="AK82" i="4"/>
  <c r="AK85" i="4"/>
  <c r="AK51" i="4"/>
  <c r="F270" i="4"/>
  <c r="F265" i="4"/>
  <c r="F264" i="4" s="1"/>
  <c r="G359" i="4"/>
  <c r="G358" i="4" s="1"/>
  <c r="G156" i="4"/>
  <c r="G161" i="4"/>
  <c r="G148" i="4"/>
  <c r="J221" i="1"/>
  <c r="J220" i="1" s="1"/>
  <c r="J16" i="1"/>
  <c r="F260" i="4"/>
  <c r="G347" i="4"/>
  <c r="S30" i="4"/>
  <c r="AE29" i="4"/>
  <c r="AE30" i="4" s="1"/>
  <c r="G34" i="4"/>
  <c r="AN32" i="4"/>
  <c r="H277" i="4"/>
  <c r="H278" i="4" s="1"/>
  <c r="H80" i="4"/>
  <c r="H79" i="4"/>
  <c r="H76" i="4"/>
  <c r="H28" i="4"/>
  <c r="H77" i="4"/>
  <c r="H132" i="4"/>
  <c r="J67" i="4"/>
  <c r="AH68" i="4"/>
  <c r="AH27" i="4"/>
  <c r="AH71" i="4"/>
  <c r="S106" i="4"/>
  <c r="S104" i="4"/>
  <c r="S343" i="4" s="1"/>
  <c r="I334" i="1"/>
  <c r="I333" i="1" s="1"/>
  <c r="I10" i="1"/>
  <c r="D334" i="1"/>
  <c r="D333" i="1" s="1"/>
  <c r="D10" i="1"/>
  <c r="Z262" i="4"/>
  <c r="Z263" i="4" s="1"/>
  <c r="Z105" i="4"/>
  <c r="Z73" i="4"/>
  <c r="Z72" i="4"/>
  <c r="Z70" i="4"/>
  <c r="Z69" i="4"/>
  <c r="Z16" i="4"/>
  <c r="N71" i="4"/>
  <c r="N68" i="4"/>
  <c r="N67" i="4" s="1"/>
  <c r="N27" i="4"/>
  <c r="N15" i="4"/>
  <c r="O78" i="4"/>
  <c r="O39" i="4"/>
  <c r="O75" i="4"/>
  <c r="AG85" i="4"/>
  <c r="AG82" i="4"/>
  <c r="AG51" i="4"/>
  <c r="M277" i="4"/>
  <c r="M278" i="4" s="1"/>
  <c r="M77" i="4"/>
  <c r="M132" i="4"/>
  <c r="M80" i="4"/>
  <c r="M76" i="4"/>
  <c r="M79" i="4"/>
  <c r="M28" i="4"/>
  <c r="L87" i="1"/>
  <c r="L77" i="1" s="1"/>
  <c r="N86" i="1"/>
  <c r="AL85" i="4"/>
  <c r="AL82" i="4"/>
  <c r="AL81" i="4" s="1"/>
  <c r="AL102" i="4" s="1"/>
  <c r="AL103" i="4" s="1"/>
  <c r="AL51" i="4"/>
  <c r="J277" i="4"/>
  <c r="J278" i="4" s="1"/>
  <c r="J77" i="4"/>
  <c r="J76" i="4"/>
  <c r="J28" i="4"/>
  <c r="J80" i="4"/>
  <c r="J79" i="4"/>
  <c r="J132" i="4"/>
  <c r="P30" i="4"/>
  <c r="AB29" i="4"/>
  <c r="AB30" i="4" s="1"/>
  <c r="G262" i="4"/>
  <c r="G263" i="4" s="1"/>
  <c r="G73" i="4"/>
  <c r="G72" i="4"/>
  <c r="G70" i="4"/>
  <c r="G69" i="4"/>
  <c r="G105" i="4"/>
  <c r="G16" i="4"/>
  <c r="AN24" i="4"/>
  <c r="AH85" i="4"/>
  <c r="AH51" i="4"/>
  <c r="AH82" i="4"/>
  <c r="L227" i="1"/>
  <c r="L230" i="1"/>
  <c r="M248" i="1"/>
  <c r="M245" i="1"/>
  <c r="S71" i="4"/>
  <c r="S68" i="4"/>
  <c r="S67" i="4" s="1"/>
  <c r="S98" i="4" s="1"/>
  <c r="S99" i="4" s="1"/>
  <c r="S27" i="4"/>
  <c r="U262" i="4"/>
  <c r="U263" i="4" s="1"/>
  <c r="U73" i="4"/>
  <c r="U69" i="4"/>
  <c r="U72" i="4"/>
  <c r="U16" i="4"/>
  <c r="U70" i="4"/>
  <c r="U105" i="4"/>
  <c r="K27" i="4"/>
  <c r="K71" i="4"/>
  <c r="K68" i="4"/>
  <c r="F334" i="1"/>
  <c r="F333" i="1" s="1"/>
  <c r="F10" i="1"/>
  <c r="AB17" i="4"/>
  <c r="AB18" i="4" s="1"/>
  <c r="AB20" i="4" s="1"/>
  <c r="AB22" i="4" s="1"/>
  <c r="AB24" i="4" s="1"/>
  <c r="P18" i="4"/>
  <c r="P20" i="4" s="1"/>
  <c r="P22" i="4" s="1"/>
  <c r="P24" i="4" s="1"/>
  <c r="V68" i="4"/>
  <c r="V27" i="4"/>
  <c r="V71" i="4"/>
  <c r="AN30" i="4"/>
  <c r="AE71" i="4"/>
  <c r="AE68" i="4"/>
  <c r="AE67" i="4" s="1"/>
  <c r="AE27" i="4"/>
  <c r="AD85" i="4"/>
  <c r="AD82" i="4"/>
  <c r="AD51" i="4"/>
  <c r="AG29" i="4"/>
  <c r="AG30" i="4" s="1"/>
  <c r="U30" i="4"/>
  <c r="N277" i="4"/>
  <c r="N278" i="4" s="1"/>
  <c r="N79" i="4"/>
  <c r="N132" i="4"/>
  <c r="N80" i="4"/>
  <c r="N77" i="4"/>
  <c r="N76" i="4"/>
  <c r="N28" i="4"/>
  <c r="AD32" i="4"/>
  <c r="AD34" i="4" s="1"/>
  <c r="AD36" i="4" s="1"/>
  <c r="AD55" i="4"/>
  <c r="AD57" i="4" s="1"/>
  <c r="AD59" i="4" s="1"/>
  <c r="AD61" i="4" s="1"/>
  <c r="O87" i="1"/>
  <c r="O77" i="1" s="1"/>
  <c r="Q86" i="1"/>
  <c r="D376" i="4"/>
  <c r="D391" i="4" s="1"/>
  <c r="X85" i="4"/>
  <c r="X82" i="4"/>
  <c r="X51" i="4"/>
  <c r="O51" i="1"/>
  <c r="O41" i="1" s="1"/>
  <c r="Q50" i="1"/>
  <c r="AL262" i="4"/>
  <c r="AL263" i="4" s="1"/>
  <c r="AL105" i="4"/>
  <c r="AL73" i="4"/>
  <c r="AL70" i="4"/>
  <c r="AL72" i="4"/>
  <c r="AL69" i="4"/>
  <c r="AL16" i="4"/>
  <c r="Y30" i="4"/>
  <c r="AK29" i="4"/>
  <c r="AK30" i="4" s="1"/>
  <c r="N51" i="1"/>
  <c r="N41" i="1" s="1"/>
  <c r="P50" i="1"/>
  <c r="Y262" i="4"/>
  <c r="Y263" i="4" s="1"/>
  <c r="Y105" i="4"/>
  <c r="Y73" i="4"/>
  <c r="Y72" i="4"/>
  <c r="Y70" i="4"/>
  <c r="Y69" i="4"/>
  <c r="Y16" i="4"/>
  <c r="H68" i="4"/>
  <c r="H67" i="4" s="1"/>
  <c r="H98" i="4" s="1"/>
  <c r="H99" i="4" s="1"/>
  <c r="H15" i="4"/>
  <c r="H27" i="4"/>
  <c r="H71" i="4"/>
  <c r="I277" i="4"/>
  <c r="I278" i="4" s="1"/>
  <c r="I80" i="4"/>
  <c r="I79" i="4"/>
  <c r="I76" i="4"/>
  <c r="I28" i="4"/>
  <c r="I77" i="4"/>
  <c r="I132" i="4"/>
  <c r="E316" i="4"/>
  <c r="E304" i="4"/>
  <c r="AK262" i="4"/>
  <c r="AK263" i="4" s="1"/>
  <c r="AK105" i="4"/>
  <c r="AK69" i="4"/>
  <c r="AK73" i="4"/>
  <c r="AK70" i="4"/>
  <c r="AK72" i="4"/>
  <c r="AK16" i="4"/>
  <c r="H104" i="4"/>
  <c r="H343" i="4" s="1"/>
  <c r="H106" i="4"/>
  <c r="M98" i="4"/>
  <c r="M99" i="4" s="1"/>
  <c r="M71" i="4"/>
  <c r="M27" i="4"/>
  <c r="M68" i="4"/>
  <c r="M67" i="4" s="1"/>
  <c r="M15" i="4"/>
  <c r="T51" i="4"/>
  <c r="T82" i="4"/>
  <c r="T85" i="4"/>
  <c r="AF85" i="4"/>
  <c r="AF82" i="4"/>
  <c r="AF81" i="4" s="1"/>
  <c r="AF102" i="4" s="1"/>
  <c r="AF103" i="4" s="1"/>
  <c r="AF51" i="4"/>
  <c r="AH104" i="4"/>
  <c r="AH343" i="4" s="1"/>
  <c r="AH106" i="4"/>
  <c r="Z30" i="4"/>
  <c r="AL29" i="4"/>
  <c r="AL30" i="4" s="1"/>
  <c r="R32" i="4"/>
  <c r="R34" i="4" s="1"/>
  <c r="R36" i="4" s="1"/>
  <c r="R55" i="4"/>
  <c r="R57" i="4" s="1"/>
  <c r="R59" i="4" s="1"/>
  <c r="R61" i="4" s="1"/>
  <c r="F40" i="3"/>
  <c r="F34" i="3"/>
  <c r="N104" i="4"/>
  <c r="N343" i="4" s="1"/>
  <c r="N106" i="4"/>
  <c r="L104" i="4"/>
  <c r="L343" i="4" s="1"/>
  <c r="L106" i="4"/>
  <c r="K244" i="1"/>
  <c r="S183" i="4"/>
  <c r="S184" i="4" s="1"/>
  <c r="S185" i="4" s="1"/>
  <c r="T181" i="4" s="1"/>
  <c r="AD262" i="4"/>
  <c r="AD263" i="4" s="1"/>
  <c r="AD105" i="4"/>
  <c r="AD73" i="4"/>
  <c r="AD72" i="4"/>
  <c r="AD16" i="4"/>
  <c r="AD69" i="4"/>
  <c r="AD70" i="4"/>
  <c r="M238" i="1"/>
  <c r="O134" i="4"/>
  <c r="O131" i="4"/>
  <c r="E41" i="3"/>
  <c r="N236" i="1"/>
  <c r="N233" i="1"/>
  <c r="AI29" i="4"/>
  <c r="AI30" i="4" s="1"/>
  <c r="W30" i="4"/>
  <c r="L68" i="4"/>
  <c r="L15" i="4"/>
  <c r="L27" i="4"/>
  <c r="L71" i="4"/>
  <c r="V51" i="4"/>
  <c r="V85" i="4"/>
  <c r="V82" i="4"/>
  <c r="V81" i="4" s="1"/>
  <c r="V102" i="4" s="1"/>
  <c r="V103" i="4" s="1"/>
  <c r="J245" i="1"/>
  <c r="J248" i="1"/>
  <c r="K277" i="4"/>
  <c r="K278" i="4" s="1"/>
  <c r="K80" i="4"/>
  <c r="K77" i="4"/>
  <c r="K79" i="4"/>
  <c r="K76" i="4"/>
  <c r="K28" i="4"/>
  <c r="K15" i="4" s="1"/>
  <c r="K132" i="4"/>
  <c r="F50" i="3"/>
  <c r="F45" i="3"/>
  <c r="V104" i="4"/>
  <c r="V343" i="4" s="1"/>
  <c r="V106" i="4"/>
  <c r="AE85" i="4"/>
  <c r="AE82" i="4"/>
  <c r="AE81" i="4" s="1"/>
  <c r="AE102" i="4"/>
  <c r="AE103" i="4" s="1"/>
  <c r="AE51" i="4"/>
  <c r="J81" i="4"/>
  <c r="J102" i="4" s="1"/>
  <c r="J103" i="4" s="1"/>
  <c r="T68" i="4"/>
  <c r="T27" i="4"/>
  <c r="T71" i="4"/>
  <c r="Z85" i="4"/>
  <c r="Z82" i="4"/>
  <c r="Z81" i="4" s="1"/>
  <c r="Z102" i="4"/>
  <c r="Z103" i="4" s="1"/>
  <c r="Z51" i="4"/>
  <c r="AI262" i="4"/>
  <c r="AI263" i="4" s="1"/>
  <c r="AI105" i="4"/>
  <c r="AI69" i="4"/>
  <c r="AI70" i="4"/>
  <c r="AI16" i="4"/>
  <c r="AI73" i="4"/>
  <c r="AI72" i="4"/>
  <c r="I104" i="4"/>
  <c r="I343" i="4" s="1"/>
  <c r="I106" i="4"/>
  <c r="R105" i="4"/>
  <c r="R262" i="4"/>
  <c r="R263" i="4" s="1"/>
  <c r="R72" i="4"/>
  <c r="R73" i="4"/>
  <c r="R70" i="4"/>
  <c r="R69" i="4"/>
  <c r="R16" i="4"/>
  <c r="AC32" i="4"/>
  <c r="AC34" i="4" s="1"/>
  <c r="AC36" i="4" s="1"/>
  <c r="AC55" i="4"/>
  <c r="AC57" i="4" s="1"/>
  <c r="AC59" i="4" s="1"/>
  <c r="AC61" i="4" s="1"/>
  <c r="K81" i="4"/>
  <c r="K102" i="4" s="1"/>
  <c r="K103" i="4" s="1"/>
  <c r="I81" i="4"/>
  <c r="I102" i="4" s="1"/>
  <c r="I103" i="4" s="1"/>
  <c r="E334" i="1"/>
  <c r="E333" i="1" s="1"/>
  <c r="E10" i="1"/>
  <c r="Y85" i="4"/>
  <c r="Y82" i="4"/>
  <c r="Y81" i="4" s="1"/>
  <c r="Y51" i="4"/>
  <c r="Y102" i="4"/>
  <c r="Y103" i="4" s="1"/>
  <c r="G89" i="4"/>
  <c r="G92" i="4"/>
  <c r="AN52" i="4"/>
  <c r="G135" i="4"/>
  <c r="T30" i="4"/>
  <c r="AF29" i="4"/>
  <c r="AF30" i="4" s="1"/>
  <c r="AH29" i="4"/>
  <c r="AH30" i="4" s="1"/>
  <c r="V30" i="4"/>
  <c r="I68" i="4"/>
  <c r="I15" i="4"/>
  <c r="I27" i="4"/>
  <c r="I71" i="4"/>
  <c r="U51" i="4"/>
  <c r="U85" i="4"/>
  <c r="U82" i="4"/>
  <c r="F120" i="4"/>
  <c r="F97" i="4"/>
  <c r="F11" i="4" s="1"/>
  <c r="W262" i="4"/>
  <c r="W263" i="4" s="1"/>
  <c r="W73" i="4"/>
  <c r="W69" i="4"/>
  <c r="W105" i="4"/>
  <c r="W72" i="4"/>
  <c r="W70" i="4"/>
  <c r="W16" i="4"/>
  <c r="H15" i="1"/>
  <c r="E286" i="4"/>
  <c r="E274" i="4"/>
  <c r="G334" i="1"/>
  <c r="G333" i="1" s="1"/>
  <c r="G10" i="1"/>
  <c r="Q32" i="4"/>
  <c r="Q34" i="4" s="1"/>
  <c r="Q36" i="4" s="1"/>
  <c r="Q55" i="4"/>
  <c r="Q57" i="4" s="1"/>
  <c r="Q59" i="4" s="1"/>
  <c r="Q61" i="4" s="1"/>
  <c r="AJ262" i="4"/>
  <c r="AJ263" i="4" s="1"/>
  <c r="AJ105" i="4"/>
  <c r="AJ69" i="4"/>
  <c r="AJ73" i="4"/>
  <c r="AJ70" i="4"/>
  <c r="AJ72" i="4"/>
  <c r="AJ16" i="4"/>
  <c r="E327" i="1"/>
  <c r="E328" i="1" s="1"/>
  <c r="AJ29" i="4"/>
  <c r="AJ30" i="4" s="1"/>
  <c r="X30" i="4"/>
  <c r="F20" i="3"/>
  <c r="F19" i="3" s="1"/>
  <c r="F25" i="3"/>
  <c r="E342" i="4"/>
  <c r="E340" i="4" s="1"/>
  <c r="E367" i="4" s="1"/>
  <c r="E96" i="4"/>
  <c r="AA262" i="4"/>
  <c r="AA263" i="4" s="1"/>
  <c r="AA105" i="4"/>
  <c r="AA70" i="4"/>
  <c r="AA16" i="4"/>
  <c r="AA73" i="4"/>
  <c r="AA69" i="4"/>
  <c r="AA72" i="4"/>
  <c r="Q85" i="4"/>
  <c r="Q82" i="4"/>
  <c r="Q51" i="4"/>
  <c r="F305" i="4"/>
  <c r="F310" i="4"/>
  <c r="N75" i="1"/>
  <c r="N65" i="1" s="1"/>
  <c r="P74" i="1"/>
  <c r="M106" i="4"/>
  <c r="M104" i="4"/>
  <c r="M343" i="4" s="1"/>
  <c r="T106" i="4"/>
  <c r="T104" i="4"/>
  <c r="T343" i="4" s="1"/>
  <c r="AC85" i="4"/>
  <c r="AC82" i="4"/>
  <c r="AC81" i="4" s="1"/>
  <c r="AC102" i="4"/>
  <c r="AC103" i="4" s="1"/>
  <c r="AC51" i="4"/>
  <c r="J166" i="4"/>
  <c r="J167" i="4" s="1"/>
  <c r="K165" i="4" s="1"/>
  <c r="K226" i="1"/>
  <c r="L242" i="1"/>
  <c r="L239" i="1"/>
  <c r="AJ82" i="4"/>
  <c r="AJ51" i="4"/>
  <c r="AJ85" i="4"/>
  <c r="AE106" i="4"/>
  <c r="AE104" i="4"/>
  <c r="AE343" i="4" s="1"/>
  <c r="D212" i="1"/>
  <c r="P292" i="4"/>
  <c r="P293" i="4" s="1"/>
  <c r="P87" i="4"/>
  <c r="P86" i="4"/>
  <c r="P84" i="4"/>
  <c r="P83" i="4"/>
  <c r="P40" i="4"/>
  <c r="E295" i="4"/>
  <c r="E290" i="4"/>
  <c r="O71" i="4"/>
  <c r="O27" i="4"/>
  <c r="O15" i="4"/>
  <c r="O68" i="4"/>
  <c r="O67" i="4" s="1"/>
  <c r="X262" i="4"/>
  <c r="X263" i="4" s="1"/>
  <c r="X73" i="4"/>
  <c r="X69" i="4"/>
  <c r="X105" i="4"/>
  <c r="X72" i="4"/>
  <c r="X70" i="4"/>
  <c r="X16" i="4"/>
  <c r="F212" i="1"/>
  <c r="L277" i="4"/>
  <c r="L278" i="4" s="1"/>
  <c r="L79" i="4"/>
  <c r="L77" i="4"/>
  <c r="L132" i="4"/>
  <c r="L76" i="4"/>
  <c r="L28" i="4"/>
  <c r="L80" i="4"/>
  <c r="H244" i="1"/>
  <c r="S85" i="4"/>
  <c r="S82" i="4"/>
  <c r="S81" i="4" s="1"/>
  <c r="S102" i="4"/>
  <c r="S103" i="4" s="1"/>
  <c r="S51" i="4"/>
  <c r="J238" i="1"/>
  <c r="D373" i="4"/>
  <c r="D392" i="4"/>
  <c r="H213" i="1" l="1"/>
  <c r="H212" i="1" s="1"/>
  <c r="H325" i="1" s="1"/>
  <c r="M230" i="1"/>
  <c r="M16" i="1"/>
  <c r="M15" i="1" s="1"/>
  <c r="E480" i="1"/>
  <c r="E483" i="1" s="1"/>
  <c r="O238" i="1"/>
  <c r="I212" i="1"/>
  <c r="I325" i="1" s="1"/>
  <c r="I351" i="1" s="1"/>
  <c r="I327" i="1"/>
  <c r="I328" i="1" s="1"/>
  <c r="O63" i="1"/>
  <c r="O53" i="1" s="1"/>
  <c r="Q62" i="1"/>
  <c r="K232" i="1"/>
  <c r="K213" i="1" s="1"/>
  <c r="K212" i="1" s="1"/>
  <c r="M236" i="1"/>
  <c r="M233" i="1"/>
  <c r="M232" i="1" s="1"/>
  <c r="K10" i="1"/>
  <c r="K479" i="1" s="1"/>
  <c r="L226" i="1"/>
  <c r="M226" i="1"/>
  <c r="O39" i="1"/>
  <c r="O29" i="1" s="1"/>
  <c r="Q38" i="1"/>
  <c r="G480" i="1"/>
  <c r="G483" i="1" s="1"/>
  <c r="D480" i="1"/>
  <c r="D483" i="1" s="1"/>
  <c r="F480" i="1"/>
  <c r="F483" i="1" s="1"/>
  <c r="M27" i="1"/>
  <c r="O26" i="1"/>
  <c r="E375" i="4"/>
  <c r="F339" i="4"/>
  <c r="E13" i="4"/>
  <c r="T183" i="4"/>
  <c r="T184" i="4" s="1"/>
  <c r="T185" i="4"/>
  <c r="U181" i="4" s="1"/>
  <c r="K341" i="4"/>
  <c r="K139" i="4"/>
  <c r="K346" i="4" s="1"/>
  <c r="K10" i="4"/>
  <c r="K322" i="4" s="1"/>
  <c r="T189" i="4"/>
  <c r="T190" i="4" s="1"/>
  <c r="T191" i="4" s="1"/>
  <c r="U187" i="4" s="1"/>
  <c r="AL104" i="4"/>
  <c r="AL343" i="4" s="1"/>
  <c r="AL106" i="4"/>
  <c r="J75" i="4"/>
  <c r="J74" i="4" s="1"/>
  <c r="J66" i="4" s="1"/>
  <c r="J342" i="4" s="1"/>
  <c r="J78" i="4"/>
  <c r="J39" i="4"/>
  <c r="J15" i="4"/>
  <c r="R63" i="1"/>
  <c r="R53" i="1" s="1"/>
  <c r="T62" i="1"/>
  <c r="D143" i="4"/>
  <c r="D137" i="4"/>
  <c r="AD71" i="4"/>
  <c r="AD68" i="4"/>
  <c r="AD67" i="4" s="1"/>
  <c r="AD98" i="4" s="1"/>
  <c r="AD99" i="4" s="1"/>
  <c r="AD15" i="4"/>
  <c r="AD27" i="4"/>
  <c r="F325" i="1"/>
  <c r="H39" i="4"/>
  <c r="H78" i="4"/>
  <c r="H75" i="4"/>
  <c r="H74" i="4" s="1"/>
  <c r="H100" i="4" s="1"/>
  <c r="H101" i="4" s="1"/>
  <c r="AK81" i="4"/>
  <c r="AK102" i="4" s="1"/>
  <c r="AK103" i="4" s="1"/>
  <c r="AG106" i="4"/>
  <c r="AG104" i="4"/>
  <c r="AG343" i="4" s="1"/>
  <c r="P233" i="1"/>
  <c r="P236" i="1"/>
  <c r="AF55" i="4"/>
  <c r="AF57" i="4" s="1"/>
  <c r="AF59" i="4" s="1"/>
  <c r="AF61" i="4" s="1"/>
  <c r="AF32" i="4"/>
  <c r="AF34" i="4" s="1"/>
  <c r="AF36" i="4" s="1"/>
  <c r="L134" i="4"/>
  <c r="L131" i="4"/>
  <c r="AJ104" i="4"/>
  <c r="AJ343" i="4" s="1"/>
  <c r="AJ106" i="4"/>
  <c r="R106" i="4"/>
  <c r="R104" i="4"/>
  <c r="R343" i="4" s="1"/>
  <c r="Q87" i="1"/>
  <c r="Q77" i="1" s="1"/>
  <c r="S86" i="1"/>
  <c r="AE98" i="4"/>
  <c r="AE99" i="4" s="1"/>
  <c r="Z104" i="4"/>
  <c r="Z343" i="4" s="1"/>
  <c r="Z106" i="4"/>
  <c r="AM307" i="4"/>
  <c r="AM308" i="4" s="1"/>
  <c r="AM133" i="4"/>
  <c r="AM135" i="4" s="1"/>
  <c r="AM64" i="4"/>
  <c r="AM52" i="4"/>
  <c r="AM91" i="4"/>
  <c r="AM93" i="4"/>
  <c r="AM90" i="4"/>
  <c r="AM94" i="4"/>
  <c r="Y104" i="4"/>
  <c r="Y343" i="4" s="1"/>
  <c r="Y106" i="4"/>
  <c r="P75" i="1"/>
  <c r="P65" i="1" s="1"/>
  <c r="R74" i="1"/>
  <c r="J162" i="4"/>
  <c r="N239" i="1"/>
  <c r="N242" i="1"/>
  <c r="K131" i="4"/>
  <c r="K134" i="4"/>
  <c r="P51" i="1"/>
  <c r="P41" i="1" s="1"/>
  <c r="R50" i="1"/>
  <c r="O245" i="1"/>
  <c r="O248" i="1"/>
  <c r="U32" i="4"/>
  <c r="U34" i="4" s="1"/>
  <c r="U36" i="4" s="1"/>
  <c r="U55" i="4"/>
  <c r="U57" i="4" s="1"/>
  <c r="U59" i="4" s="1"/>
  <c r="U61" i="4" s="1"/>
  <c r="K67" i="4"/>
  <c r="AH81" i="4"/>
  <c r="AH102" i="4" s="1"/>
  <c r="AH103" i="4" s="1"/>
  <c r="M134" i="4"/>
  <c r="M131" i="4"/>
  <c r="J15" i="1"/>
  <c r="N39" i="1"/>
  <c r="N29" i="1" s="1"/>
  <c r="P38" i="1"/>
  <c r="AM71" i="4"/>
  <c r="AM27" i="4"/>
  <c r="AM15" i="4"/>
  <c r="AM68" i="4"/>
  <c r="AM67" i="4" s="1"/>
  <c r="AM98" i="4" s="1"/>
  <c r="AM99" i="4" s="1"/>
  <c r="AM277" i="4"/>
  <c r="AM278" i="4" s="1"/>
  <c r="AM77" i="4"/>
  <c r="AM80" i="4"/>
  <c r="AM79" i="4"/>
  <c r="AM132" i="4"/>
  <c r="AM28" i="4"/>
  <c r="AM76" i="4"/>
  <c r="AF67" i="4"/>
  <c r="G85" i="4"/>
  <c r="G82" i="4"/>
  <c r="G51" i="4"/>
  <c r="AN51" i="4" s="1"/>
  <c r="AN40" i="4"/>
  <c r="M341" i="4"/>
  <c r="M139" i="4"/>
  <c r="M346" i="4" s="1"/>
  <c r="M10" i="4"/>
  <c r="M322" i="4" s="1"/>
  <c r="AK104" i="4"/>
  <c r="AK343" i="4" s="1"/>
  <c r="AK106" i="4"/>
  <c r="F55" i="3"/>
  <c r="F12" i="3"/>
  <c r="F49" i="3"/>
  <c r="F11" i="3" s="1"/>
  <c r="Q307" i="4"/>
  <c r="Q308" i="4" s="1"/>
  <c r="Q133" i="4"/>
  <c r="Q135" i="4" s="1"/>
  <c r="Q91" i="4"/>
  <c r="Q90" i="4"/>
  <c r="Q64" i="4"/>
  <c r="Q93" i="4"/>
  <c r="Q52" i="4"/>
  <c r="Q94" i="4"/>
  <c r="AD106" i="4"/>
  <c r="AD104" i="4"/>
  <c r="AD343" i="4" s="1"/>
  <c r="N227" i="1"/>
  <c r="N230" i="1"/>
  <c r="AG55" i="4"/>
  <c r="AG57" i="4" s="1"/>
  <c r="AG59" i="4" s="1"/>
  <c r="AG61" i="4" s="1"/>
  <c r="AG32" i="4"/>
  <c r="AG34" i="4" s="1"/>
  <c r="AG36" i="4" s="1"/>
  <c r="N341" i="4"/>
  <c r="N139" i="4"/>
  <c r="N346" i="4" s="1"/>
  <c r="N10" i="4"/>
  <c r="N322" i="4" s="1"/>
  <c r="G31" i="3"/>
  <c r="G35" i="3" s="1"/>
  <c r="F39" i="3"/>
  <c r="X68" i="4"/>
  <c r="X67" i="4" s="1"/>
  <c r="X27" i="4"/>
  <c r="X71" i="4"/>
  <c r="G88" i="4"/>
  <c r="AN88" i="4" s="1"/>
  <c r="L341" i="4"/>
  <c r="L139" i="4"/>
  <c r="L346" i="4" s="1"/>
  <c r="L10" i="4"/>
  <c r="L322" i="4" s="1"/>
  <c r="R307" i="4"/>
  <c r="R308" i="4" s="1"/>
  <c r="R133" i="4"/>
  <c r="R135" i="4" s="1"/>
  <c r="R91" i="4"/>
  <c r="R90" i="4"/>
  <c r="R93" i="4"/>
  <c r="R52" i="4"/>
  <c r="R64" i="4"/>
  <c r="R94" i="4"/>
  <c r="Y32" i="4"/>
  <c r="Y34" i="4" s="1"/>
  <c r="Y36" i="4" s="1"/>
  <c r="Y55" i="4"/>
  <c r="Y57" i="4" s="1"/>
  <c r="Y59" i="4" s="1"/>
  <c r="Y61" i="4" s="1"/>
  <c r="AD307" i="4"/>
  <c r="AD308" i="4" s="1"/>
  <c r="AD94" i="4"/>
  <c r="AD91" i="4"/>
  <c r="AD52" i="4"/>
  <c r="AD64" i="4"/>
  <c r="AD90" i="4"/>
  <c r="AD93" i="4"/>
  <c r="AD133" i="4"/>
  <c r="D325" i="1"/>
  <c r="H159" i="4"/>
  <c r="G387" i="4"/>
  <c r="G386" i="4" s="1"/>
  <c r="AA277" i="4"/>
  <c r="AA278" i="4" s="1"/>
  <c r="AA80" i="4"/>
  <c r="AA77" i="4"/>
  <c r="AA79" i="4"/>
  <c r="AA76" i="4"/>
  <c r="AA28" i="4"/>
  <c r="AA132" i="4"/>
  <c r="AC71" i="4"/>
  <c r="AC68" i="4"/>
  <c r="AC67" i="4" s="1"/>
  <c r="AC27" i="4"/>
  <c r="AC15" i="4"/>
  <c r="P27" i="1"/>
  <c r="R26" i="1"/>
  <c r="E426" i="1"/>
  <c r="E370" i="1"/>
  <c r="E479" i="1"/>
  <c r="N134" i="4"/>
  <c r="N131" i="4"/>
  <c r="T55" i="4"/>
  <c r="T57" i="4" s="1"/>
  <c r="T59" i="4" s="1"/>
  <c r="T61" i="4" s="1"/>
  <c r="T32" i="4"/>
  <c r="T34" i="4" s="1"/>
  <c r="T36" i="4" s="1"/>
  <c r="I341" i="4"/>
  <c r="I10" i="4"/>
  <c r="I322" i="4" s="1"/>
  <c r="I139" i="4"/>
  <c r="I346" i="4" s="1"/>
  <c r="AK55" i="4"/>
  <c r="AK57" i="4" s="1"/>
  <c r="AK59" i="4" s="1"/>
  <c r="AK61" i="4" s="1"/>
  <c r="AK32" i="4"/>
  <c r="AK34" i="4" s="1"/>
  <c r="AK36" i="4" s="1"/>
  <c r="AA307" i="4"/>
  <c r="AA308" i="4" s="1"/>
  <c r="AA133" i="4"/>
  <c r="AA94" i="4"/>
  <c r="AA93" i="4"/>
  <c r="AA64" i="4"/>
  <c r="AA52" i="4"/>
  <c r="AA91" i="4"/>
  <c r="AA90" i="4"/>
  <c r="I67" i="4"/>
  <c r="F315" i="4"/>
  <c r="F309" i="4"/>
  <c r="AA106" i="4"/>
  <c r="AA104" i="4"/>
  <c r="AA343" i="4" s="1"/>
  <c r="AJ55" i="4"/>
  <c r="AJ57" i="4" s="1"/>
  <c r="AJ59" i="4" s="1"/>
  <c r="AJ61" i="4" s="1"/>
  <c r="AJ32" i="4"/>
  <c r="AJ34" i="4" s="1"/>
  <c r="AJ36" i="4" s="1"/>
  <c r="G351" i="1"/>
  <c r="G326" i="1"/>
  <c r="G11" i="1" s="1"/>
  <c r="AC277" i="4"/>
  <c r="AC278" i="4" s="1"/>
  <c r="AC80" i="4"/>
  <c r="AC79" i="4"/>
  <c r="AC132" i="4"/>
  <c r="AC77" i="4"/>
  <c r="AC28" i="4"/>
  <c r="AC76" i="4"/>
  <c r="AI27" i="4"/>
  <c r="AI71" i="4"/>
  <c r="AI68" i="4"/>
  <c r="AI67" i="4" s="1"/>
  <c r="L67" i="4"/>
  <c r="R277" i="4"/>
  <c r="R278" i="4" s="1"/>
  <c r="R80" i="4"/>
  <c r="R79" i="4"/>
  <c r="R77" i="4"/>
  <c r="R76" i="4"/>
  <c r="R132" i="4"/>
  <c r="R28" i="4"/>
  <c r="AK71" i="4"/>
  <c r="AK27" i="4"/>
  <c r="AK68" i="4"/>
  <c r="AK67" i="4" s="1"/>
  <c r="I39" i="4"/>
  <c r="I78" i="4"/>
  <c r="I75" i="4"/>
  <c r="Y68" i="4"/>
  <c r="Y27" i="4"/>
  <c r="Y71" i="4"/>
  <c r="AL68" i="4"/>
  <c r="AL71" i="4"/>
  <c r="AL27" i="4"/>
  <c r="S50" i="1"/>
  <c r="Q51" i="1"/>
  <c r="Q41" i="1" s="1"/>
  <c r="AD80" i="4"/>
  <c r="AD79" i="4"/>
  <c r="AD77" i="4"/>
  <c r="AD76" i="4"/>
  <c r="AD277" i="4"/>
  <c r="AD278" i="4" s="1"/>
  <c r="AD132" i="4"/>
  <c r="AD28" i="4"/>
  <c r="AB32" i="4"/>
  <c r="AB34" i="4" s="1"/>
  <c r="AB36" i="4" s="1"/>
  <c r="AB55" i="4"/>
  <c r="AB57" i="4" s="1"/>
  <c r="AB59" i="4" s="1"/>
  <c r="AB61" i="4" s="1"/>
  <c r="AG81" i="4"/>
  <c r="AG102" i="4" s="1"/>
  <c r="AG103" i="4" s="1"/>
  <c r="AH67" i="4"/>
  <c r="G36" i="4"/>
  <c r="AN34" i="4"/>
  <c r="AC106" i="4"/>
  <c r="AC104" i="4"/>
  <c r="AC343" i="4" s="1"/>
  <c r="F479" i="1"/>
  <c r="F426" i="1"/>
  <c r="F370" i="1"/>
  <c r="E351" i="1"/>
  <c r="E326" i="1"/>
  <c r="E11" i="1" s="1"/>
  <c r="K75" i="4"/>
  <c r="K74" i="4" s="1"/>
  <c r="K100" i="4" s="1"/>
  <c r="K101" i="4" s="1"/>
  <c r="K39" i="4"/>
  <c r="K78" i="4"/>
  <c r="O123" i="4"/>
  <c r="O345" i="4" s="1"/>
  <c r="H341" i="4"/>
  <c r="H139" i="4"/>
  <c r="H346" i="4" s="1"/>
  <c r="H10" i="4"/>
  <c r="H322" i="4" s="1"/>
  <c r="S75" i="1"/>
  <c r="S65" i="1" s="1"/>
  <c r="U74" i="1"/>
  <c r="AA71" i="4"/>
  <c r="AA68" i="4"/>
  <c r="AA27" i="4"/>
  <c r="V32" i="4"/>
  <c r="V34" i="4" s="1"/>
  <c r="V36" i="4" s="1"/>
  <c r="V55" i="4"/>
  <c r="V57" i="4" s="1"/>
  <c r="V59" i="4" s="1"/>
  <c r="V61" i="4" s="1"/>
  <c r="R68" i="4"/>
  <c r="R67" i="4" s="1"/>
  <c r="R98" i="4" s="1"/>
  <c r="R99" i="4" s="1"/>
  <c r="R15" i="4"/>
  <c r="R27" i="4"/>
  <c r="R71" i="4"/>
  <c r="AL32" i="4"/>
  <c r="AL34" i="4" s="1"/>
  <c r="AL36" i="4" s="1"/>
  <c r="AL55" i="4"/>
  <c r="AL57" i="4" s="1"/>
  <c r="AL59" i="4" s="1"/>
  <c r="AL61" i="4" s="1"/>
  <c r="O227" i="1"/>
  <c r="O230" i="1"/>
  <c r="N78" i="4"/>
  <c r="N75" i="4"/>
  <c r="N74" i="4" s="1"/>
  <c r="N100" i="4" s="1"/>
  <c r="N101" i="4" s="1"/>
  <c r="N39" i="4"/>
  <c r="V67" i="4"/>
  <c r="U104" i="4"/>
  <c r="U343" i="4" s="1"/>
  <c r="U106" i="4"/>
  <c r="M244" i="1"/>
  <c r="P32" i="4"/>
  <c r="P34" i="4" s="1"/>
  <c r="P36" i="4" s="1"/>
  <c r="P55" i="4"/>
  <c r="P57" i="4" s="1"/>
  <c r="P59" i="4" s="1"/>
  <c r="P61" i="4" s="1"/>
  <c r="N98" i="4"/>
  <c r="N99" i="4" s="1"/>
  <c r="AE55" i="4"/>
  <c r="AE57" i="4" s="1"/>
  <c r="AE59" i="4" s="1"/>
  <c r="AE61" i="4" s="1"/>
  <c r="AE32" i="4"/>
  <c r="AE34" i="4" s="1"/>
  <c r="AE36" i="4" s="1"/>
  <c r="Q98" i="4"/>
  <c r="Q99" i="4" s="1"/>
  <c r="Q71" i="4"/>
  <c r="Q27" i="4"/>
  <c r="Q68" i="4"/>
  <c r="Q67" i="4" s="1"/>
  <c r="AB85" i="4"/>
  <c r="AB82" i="4"/>
  <c r="AB81" i="4" s="1"/>
  <c r="AB102" i="4"/>
  <c r="AB103" i="4" s="1"/>
  <c r="AB51" i="4"/>
  <c r="K162" i="4"/>
  <c r="K166" i="4"/>
  <c r="K167" i="4" s="1"/>
  <c r="L165" i="4" s="1"/>
  <c r="G16" i="3"/>
  <c r="F24" i="3"/>
  <c r="W104" i="4"/>
  <c r="W343" i="4" s="1"/>
  <c r="W106" i="4"/>
  <c r="Q239" i="1"/>
  <c r="Q242" i="1"/>
  <c r="G370" i="1"/>
  <c r="G479" i="1"/>
  <c r="G426" i="1"/>
  <c r="X104" i="4"/>
  <c r="X343" i="4" s="1"/>
  <c r="X106" i="4"/>
  <c r="AJ71" i="4"/>
  <c r="AJ68" i="4"/>
  <c r="AJ67" i="4" s="1"/>
  <c r="AJ27" i="4"/>
  <c r="AH32" i="4"/>
  <c r="AH34" i="4" s="1"/>
  <c r="AH36" i="4" s="1"/>
  <c r="AH55" i="4"/>
  <c r="AH57" i="4" s="1"/>
  <c r="AH59" i="4" s="1"/>
  <c r="AH61" i="4" s="1"/>
  <c r="Z32" i="4"/>
  <c r="Z34" i="4" s="1"/>
  <c r="Z36" i="4" s="1"/>
  <c r="Z55" i="4"/>
  <c r="Z57" i="4" s="1"/>
  <c r="Z59" i="4" s="1"/>
  <c r="Z61" i="4" s="1"/>
  <c r="T81" i="4"/>
  <c r="T102" i="4" s="1"/>
  <c r="T103" i="4" s="1"/>
  <c r="AD81" i="4"/>
  <c r="AD102" i="4" s="1"/>
  <c r="AD103" i="4" s="1"/>
  <c r="J131" i="4"/>
  <c r="J134" i="4"/>
  <c r="N87" i="1"/>
  <c r="N77" i="1" s="1"/>
  <c r="P86" i="1"/>
  <c r="Z71" i="4"/>
  <c r="Z68" i="4"/>
  <c r="Z67" i="4" s="1"/>
  <c r="Z98" i="4" s="1"/>
  <c r="Z99" i="4" s="1"/>
  <c r="Z27" i="4"/>
  <c r="I370" i="1"/>
  <c r="I426" i="1"/>
  <c r="I479" i="1"/>
  <c r="J98" i="4"/>
  <c r="J99" i="4" s="1"/>
  <c r="S55" i="4"/>
  <c r="S57" i="4" s="1"/>
  <c r="S59" i="4" s="1"/>
  <c r="S61" i="4" s="1"/>
  <c r="S32" i="4"/>
  <c r="S34" i="4" s="1"/>
  <c r="S36" i="4" s="1"/>
  <c r="F279" i="4"/>
  <c r="F285" i="4"/>
  <c r="AM106" i="4"/>
  <c r="AM104" i="4"/>
  <c r="AM343" i="4" s="1"/>
  <c r="L221" i="1"/>
  <c r="L220" i="1" s="1"/>
  <c r="L16" i="1"/>
  <c r="I131" i="4"/>
  <c r="I134" i="4"/>
  <c r="AC307" i="4"/>
  <c r="AC308" i="4" s="1"/>
  <c r="AC91" i="4"/>
  <c r="AC64" i="4"/>
  <c r="AC52" i="4"/>
  <c r="AC90" i="4"/>
  <c r="AC93" i="4"/>
  <c r="AC94" i="4"/>
  <c r="AC133" i="4"/>
  <c r="AC135" i="4" s="1"/>
  <c r="E300" i="4"/>
  <c r="E294" i="4"/>
  <c r="E255" i="4" s="1"/>
  <c r="E256" i="4"/>
  <c r="P85" i="4"/>
  <c r="P82" i="4"/>
  <c r="P51" i="4"/>
  <c r="E363" i="4"/>
  <c r="F136" i="4"/>
  <c r="F121" i="4"/>
  <c r="AI104" i="4"/>
  <c r="AI343" i="4" s="1"/>
  <c r="AI106" i="4"/>
  <c r="W32" i="4"/>
  <c r="W34" i="4" s="1"/>
  <c r="W36" i="4" s="1"/>
  <c r="W55" i="4"/>
  <c r="W57" i="4" s="1"/>
  <c r="W59" i="4" s="1"/>
  <c r="W61" i="4" s="1"/>
  <c r="P105" i="4"/>
  <c r="P262" i="4"/>
  <c r="P263" i="4" s="1"/>
  <c r="P70" i="4"/>
  <c r="P73" i="4"/>
  <c r="P69" i="4"/>
  <c r="P72" i="4"/>
  <c r="P16" i="4"/>
  <c r="U68" i="4"/>
  <c r="U27" i="4"/>
  <c r="U71" i="4"/>
  <c r="G71" i="4"/>
  <c r="G68" i="4"/>
  <c r="G27" i="4"/>
  <c r="AN27" i="4" s="1"/>
  <c r="AN16" i="4"/>
  <c r="L248" i="1"/>
  <c r="L245" i="1"/>
  <c r="L244" i="1" s="1"/>
  <c r="O74" i="4"/>
  <c r="O100" i="4" s="1"/>
  <c r="O101" i="4" s="1"/>
  <c r="F269" i="4"/>
  <c r="F271" i="4" s="1"/>
  <c r="G261" i="4"/>
  <c r="AG68" i="4"/>
  <c r="AG27" i="4"/>
  <c r="AG71" i="4"/>
  <c r="Q106" i="4"/>
  <c r="Q104" i="4"/>
  <c r="Q343" i="4" s="1"/>
  <c r="J179" i="4"/>
  <c r="K175" i="4" s="1"/>
  <c r="J177" i="4"/>
  <c r="J178" i="4" s="1"/>
  <c r="N232" i="1"/>
  <c r="W27" i="4"/>
  <c r="W68" i="4"/>
  <c r="W71" i="4"/>
  <c r="O341" i="4"/>
  <c r="O139" i="4"/>
  <c r="O346" i="4" s="1"/>
  <c r="O10" i="4"/>
  <c r="O322" i="4" s="1"/>
  <c r="E120" i="4"/>
  <c r="E97" i="4"/>
  <c r="E11" i="4" s="1"/>
  <c r="O98" i="4"/>
  <c r="O99" i="4" s="1"/>
  <c r="Q277" i="4"/>
  <c r="Q278" i="4" s="1"/>
  <c r="Q80" i="4"/>
  <c r="Q76" i="4"/>
  <c r="Q79" i="4"/>
  <c r="Q132" i="4"/>
  <c r="Q28" i="4"/>
  <c r="Q77" i="4"/>
  <c r="D479" i="1"/>
  <c r="D426" i="1"/>
  <c r="D370" i="1"/>
  <c r="X32" i="4"/>
  <c r="X34" i="4" s="1"/>
  <c r="X36" i="4" s="1"/>
  <c r="X55" i="4"/>
  <c r="X57" i="4" s="1"/>
  <c r="X59" i="4" s="1"/>
  <c r="X61" i="4" s="1"/>
  <c r="AJ81" i="4"/>
  <c r="AJ102" i="4" s="1"/>
  <c r="AJ103" i="4" s="1"/>
  <c r="L100" i="4"/>
  <c r="L101" i="4" s="1"/>
  <c r="L39" i="4"/>
  <c r="L75" i="4"/>
  <c r="L74" i="4" s="1"/>
  <c r="L78" i="4"/>
  <c r="L238" i="1"/>
  <c r="Q81" i="4"/>
  <c r="Q102" i="4" s="1"/>
  <c r="Q103" i="4" s="1"/>
  <c r="H334" i="1"/>
  <c r="H333" i="1" s="1"/>
  <c r="H10" i="1"/>
  <c r="U81" i="4"/>
  <c r="U102" i="4" s="1"/>
  <c r="U103" i="4" s="1"/>
  <c r="T67" i="4"/>
  <c r="J244" i="1"/>
  <c r="J213" i="1" s="1"/>
  <c r="AI32" i="4"/>
  <c r="AI34" i="4" s="1"/>
  <c r="AI36" i="4" s="1"/>
  <c r="AI55" i="4"/>
  <c r="AI57" i="4" s="1"/>
  <c r="AI59" i="4" s="1"/>
  <c r="AI61" i="4" s="1"/>
  <c r="X81" i="4"/>
  <c r="X102" i="4" s="1"/>
  <c r="X103" i="4" s="1"/>
  <c r="AB262" i="4"/>
  <c r="AB263" i="4" s="1"/>
  <c r="AB105" i="4"/>
  <c r="AB69" i="4"/>
  <c r="AB73" i="4"/>
  <c r="AB72" i="4"/>
  <c r="AB16" i="4"/>
  <c r="AB70" i="4"/>
  <c r="AN105" i="4"/>
  <c r="G106" i="4"/>
  <c r="G104" i="4"/>
  <c r="M100" i="4"/>
  <c r="M101" i="4" s="1"/>
  <c r="M75" i="4"/>
  <c r="M74" i="4" s="1"/>
  <c r="M66" i="4" s="1"/>
  <c r="M39" i="4"/>
  <c r="M78" i="4"/>
  <c r="H131" i="4"/>
  <c r="H134" i="4"/>
  <c r="H327" i="1" l="1"/>
  <c r="H328" i="1" s="1"/>
  <c r="H480" i="1"/>
  <c r="H483" i="1" s="1"/>
  <c r="K426" i="1"/>
  <c r="L425" i="1" s="1"/>
  <c r="N238" i="1"/>
  <c r="I480" i="1"/>
  <c r="I483" i="1" s="1"/>
  <c r="I326" i="1"/>
  <c r="I11" i="1" s="1"/>
  <c r="K370" i="1"/>
  <c r="S62" i="1"/>
  <c r="Q63" i="1"/>
  <c r="Q53" i="1" s="1"/>
  <c r="O236" i="1"/>
  <c r="O233" i="1"/>
  <c r="O226" i="1"/>
  <c r="N226" i="1"/>
  <c r="M213" i="1"/>
  <c r="M327" i="1" s="1"/>
  <c r="M328" i="1" s="1"/>
  <c r="K327" i="1"/>
  <c r="K328" i="1" s="1"/>
  <c r="S38" i="1"/>
  <c r="Q39" i="1"/>
  <c r="Q29" i="1" s="1"/>
  <c r="O221" i="1"/>
  <c r="O220" i="1" s="1"/>
  <c r="O16" i="1"/>
  <c r="O15" i="1" s="1"/>
  <c r="O10" i="1" s="1"/>
  <c r="O27" i="1"/>
  <c r="Q26" i="1"/>
  <c r="U189" i="4"/>
  <c r="U190" i="4" s="1"/>
  <c r="U191" i="4" s="1"/>
  <c r="V187" i="4" s="1"/>
  <c r="J212" i="1"/>
  <c r="J325" i="1" s="1"/>
  <c r="J327" i="1"/>
  <c r="J328" i="1" s="1"/>
  <c r="M342" i="4"/>
  <c r="M96" i="4"/>
  <c r="AK277" i="4"/>
  <c r="AK278" i="4" s="1"/>
  <c r="AK76" i="4"/>
  <c r="AK79" i="4"/>
  <c r="AK77" i="4"/>
  <c r="AK132" i="4"/>
  <c r="AK28" i="4"/>
  <c r="AK80" i="4"/>
  <c r="E487" i="1"/>
  <c r="E488" i="1"/>
  <c r="E482" i="1"/>
  <c r="E485" i="1" s="1"/>
  <c r="AA75" i="4"/>
  <c r="AA74" i="4" s="1"/>
  <c r="AA100" i="4" s="1"/>
  <c r="AA101" i="4" s="1"/>
  <c r="AA78" i="4"/>
  <c r="AA39" i="4"/>
  <c r="K123" i="4"/>
  <c r="K345" i="4" s="1"/>
  <c r="S87" i="1"/>
  <c r="S77" i="1" s="1"/>
  <c r="U86" i="1"/>
  <c r="K480" i="1"/>
  <c r="K483" i="1" s="1"/>
  <c r="K325" i="1"/>
  <c r="D482" i="1"/>
  <c r="D485" i="1" s="1"/>
  <c r="D487" i="1"/>
  <c r="D488" i="1"/>
  <c r="G67" i="4"/>
  <c r="P81" i="4"/>
  <c r="P102" i="4" s="1"/>
  <c r="P103" i="4" s="1"/>
  <c r="G276" i="4"/>
  <c r="G280" i="4" s="1"/>
  <c r="F284" i="4"/>
  <c r="L166" i="4"/>
  <c r="L167" i="4" s="1"/>
  <c r="M165" i="4" s="1"/>
  <c r="AE80" i="4"/>
  <c r="AE79" i="4"/>
  <c r="AE77" i="4"/>
  <c r="AE76" i="4"/>
  <c r="AE277" i="4"/>
  <c r="AE278" i="4" s="1"/>
  <c r="AE28" i="4"/>
  <c r="AE132" i="4"/>
  <c r="G277" i="4"/>
  <c r="G278" i="4" s="1"/>
  <c r="G80" i="4"/>
  <c r="G79" i="4"/>
  <c r="G77" i="4"/>
  <c r="G76" i="4"/>
  <c r="G28" i="4"/>
  <c r="AN36" i="4"/>
  <c r="G132" i="4"/>
  <c r="Q227" i="1"/>
  <c r="Q230" i="1"/>
  <c r="I74" i="4"/>
  <c r="I100" i="4" s="1"/>
  <c r="I101" i="4" s="1"/>
  <c r="AC75" i="4"/>
  <c r="AC74" i="4" s="1"/>
  <c r="AC100" i="4" s="1"/>
  <c r="AC101" i="4" s="1"/>
  <c r="AC39" i="4"/>
  <c r="AC78" i="4"/>
  <c r="AK307" i="4"/>
  <c r="AK308" i="4" s="1"/>
  <c r="AK90" i="4"/>
  <c r="AK64" i="4"/>
  <c r="AK52" i="4"/>
  <c r="AK93" i="4"/>
  <c r="AK133" i="4"/>
  <c r="AK135" i="4" s="1"/>
  <c r="AK94" i="4"/>
  <c r="AK91" i="4"/>
  <c r="AG307" i="4"/>
  <c r="AG308" i="4" s="1"/>
  <c r="AG91" i="4"/>
  <c r="AG90" i="4"/>
  <c r="AG52" i="4"/>
  <c r="AG93" i="4"/>
  <c r="AG64" i="4"/>
  <c r="AG133" i="4"/>
  <c r="AG135" i="4" s="1"/>
  <c r="AG94" i="4"/>
  <c r="Q248" i="1"/>
  <c r="Q245" i="1"/>
  <c r="P232" i="1"/>
  <c r="J341" i="4"/>
  <c r="J139" i="4"/>
  <c r="J346" i="4" s="1"/>
  <c r="J96" i="4"/>
  <c r="J10" i="4"/>
  <c r="J322" i="4" s="1"/>
  <c r="L321" i="4"/>
  <c r="AG277" i="4"/>
  <c r="AG278" i="4" s="1"/>
  <c r="AG76" i="4"/>
  <c r="AG79" i="4"/>
  <c r="AG28" i="4"/>
  <c r="AG77" i="4"/>
  <c r="AG80" i="4"/>
  <c r="AG132" i="4"/>
  <c r="E121" i="4"/>
  <c r="E136" i="4"/>
  <c r="K177" i="4"/>
  <c r="K178" i="4" s="1"/>
  <c r="K179" i="4" s="1"/>
  <c r="L175" i="4" s="1"/>
  <c r="G270" i="4"/>
  <c r="G265" i="4"/>
  <c r="G264" i="4" s="1"/>
  <c r="AH307" i="4"/>
  <c r="AH308" i="4" s="1"/>
  <c r="AH91" i="4"/>
  <c r="AH90" i="4"/>
  <c r="AH52" i="4"/>
  <c r="AH64" i="4"/>
  <c r="AH94" i="4"/>
  <c r="AH93" i="4"/>
  <c r="AH133" i="4"/>
  <c r="AH135" i="4" s="1"/>
  <c r="AE307" i="4"/>
  <c r="AE308" i="4" s="1"/>
  <c r="AE93" i="4"/>
  <c r="AE91" i="4"/>
  <c r="AE52" i="4"/>
  <c r="AE90" i="4"/>
  <c r="AE64" i="4"/>
  <c r="AE94" i="4"/>
  <c r="AE133" i="4"/>
  <c r="V307" i="4"/>
  <c r="V308" i="4" s="1"/>
  <c r="V91" i="4"/>
  <c r="V90" i="4"/>
  <c r="V52" i="4"/>
  <c r="V64" i="4"/>
  <c r="V94" i="4"/>
  <c r="V93" i="4"/>
  <c r="V133" i="4"/>
  <c r="W74" i="1"/>
  <c r="U75" i="1"/>
  <c r="U65" i="1" s="1"/>
  <c r="AH98" i="4"/>
  <c r="AH99" i="4" s="1"/>
  <c r="U50" i="1"/>
  <c r="S51" i="1"/>
  <c r="S41" i="1" s="1"/>
  <c r="F314" i="4"/>
  <c r="G306" i="4"/>
  <c r="F425" i="1"/>
  <c r="F427" i="1" s="1"/>
  <c r="F413" i="1" s="1"/>
  <c r="E454" i="1"/>
  <c r="E412" i="1"/>
  <c r="AD89" i="4"/>
  <c r="AD88" i="4" s="1"/>
  <c r="AD92" i="4"/>
  <c r="K66" i="4"/>
  <c r="K98" i="4"/>
  <c r="K99" i="4" s="1"/>
  <c r="AM92" i="4"/>
  <c r="AM89" i="4"/>
  <c r="AM88" i="4" s="1"/>
  <c r="S242" i="1"/>
  <c r="S239" i="1"/>
  <c r="G81" i="4"/>
  <c r="U307" i="4"/>
  <c r="U308" i="4" s="1"/>
  <c r="U91" i="4"/>
  <c r="U52" i="4"/>
  <c r="U64" i="4"/>
  <c r="U93" i="4"/>
  <c r="U90" i="4"/>
  <c r="U133" i="4"/>
  <c r="U135" i="4" s="1"/>
  <c r="U94" i="4"/>
  <c r="E425" i="1"/>
  <c r="E427" i="1" s="1"/>
  <c r="E413" i="1" s="1"/>
  <c r="D427" i="1"/>
  <c r="D413" i="1" s="1"/>
  <c r="D454" i="1"/>
  <c r="D412" i="1"/>
  <c r="G20" i="3"/>
  <c r="G19" i="3" s="1"/>
  <c r="G25" i="3"/>
  <c r="G343" i="4"/>
  <c r="AN104" i="4"/>
  <c r="AI307" i="4"/>
  <c r="AI308" i="4" s="1"/>
  <c r="AI90" i="4"/>
  <c r="AI91" i="4"/>
  <c r="AI64" i="4"/>
  <c r="AI52" i="4"/>
  <c r="AI133" i="4"/>
  <c r="AI135" i="4" s="1"/>
  <c r="AI93" i="4"/>
  <c r="AI94" i="4"/>
  <c r="P106" i="4"/>
  <c r="P104" i="4"/>
  <c r="P343" i="4" s="1"/>
  <c r="R27" i="1"/>
  <c r="T26" i="1"/>
  <c r="G488" i="1"/>
  <c r="G482" i="1"/>
  <c r="G485" i="1" s="1"/>
  <c r="G487" i="1"/>
  <c r="U277" i="4"/>
  <c r="U278" i="4" s="1"/>
  <c r="U76" i="4"/>
  <c r="U80" i="4"/>
  <c r="U28" i="4"/>
  <c r="U77" i="4"/>
  <c r="U79" i="4"/>
  <c r="U132" i="4"/>
  <c r="T74" i="1"/>
  <c r="R75" i="1"/>
  <c r="R65" i="1" s="1"/>
  <c r="J100" i="4"/>
  <c r="J101" i="4" s="1"/>
  <c r="J123" i="4"/>
  <c r="J345" i="4" s="1"/>
  <c r="AD78" i="4"/>
  <c r="AD75" i="4"/>
  <c r="AD74" i="4" s="1"/>
  <c r="AD100" i="4" s="1"/>
  <c r="AD101" i="4" s="1"/>
  <c r="AD39" i="4"/>
  <c r="AL67" i="4"/>
  <c r="L66" i="4"/>
  <c r="L98" i="4"/>
  <c r="L99" i="4" s="1"/>
  <c r="AA92" i="4"/>
  <c r="AA89" i="4"/>
  <c r="AA88" i="4" s="1"/>
  <c r="T277" i="4"/>
  <c r="T278" i="4" s="1"/>
  <c r="T80" i="4"/>
  <c r="T79" i="4"/>
  <c r="T28" i="4"/>
  <c r="T77" i="4"/>
  <c r="T76" i="4"/>
  <c r="T132" i="4"/>
  <c r="O244" i="1"/>
  <c r="P239" i="1"/>
  <c r="P242" i="1"/>
  <c r="M334" i="1"/>
  <c r="M333" i="1" s="1"/>
  <c r="M10" i="1"/>
  <c r="G454" i="1"/>
  <c r="H425" i="1"/>
  <c r="G412" i="1"/>
  <c r="AC131" i="4"/>
  <c r="AC134" i="4"/>
  <c r="S307" i="4"/>
  <c r="S308" i="4" s="1"/>
  <c r="S90" i="4"/>
  <c r="S133" i="4"/>
  <c r="S52" i="4"/>
  <c r="S91" i="4"/>
  <c r="S64" i="4"/>
  <c r="S93" i="4"/>
  <c r="S94" i="4"/>
  <c r="G30" i="3"/>
  <c r="F41" i="3"/>
  <c r="Q134" i="4"/>
  <c r="Q131" i="4"/>
  <c r="AB71" i="4"/>
  <c r="AB27" i="4"/>
  <c r="AB68" i="4"/>
  <c r="AB15" i="4"/>
  <c r="U67" i="4"/>
  <c r="I488" i="1"/>
  <c r="I482" i="1"/>
  <c r="I487" i="1"/>
  <c r="G425" i="1"/>
  <c r="G427" i="1" s="1"/>
  <c r="G413" i="1" s="1"/>
  <c r="F454" i="1"/>
  <c r="F412" i="1"/>
  <c r="AD131" i="4"/>
  <c r="AD134" i="4"/>
  <c r="T307" i="4"/>
  <c r="T308" i="4" s="1"/>
  <c r="T90" i="4"/>
  <c r="T93" i="4"/>
  <c r="T133" i="4"/>
  <c r="T91" i="4"/>
  <c r="T52" i="4"/>
  <c r="T64" i="4"/>
  <c r="T94" i="4"/>
  <c r="AC66" i="4"/>
  <c r="AC342" i="4" s="1"/>
  <c r="H160" i="4"/>
  <c r="H140" i="4"/>
  <c r="Y307" i="4"/>
  <c r="Y308" i="4" s="1"/>
  <c r="Y90" i="4"/>
  <c r="Y64" i="4"/>
  <c r="Y52" i="4"/>
  <c r="Y94" i="4"/>
  <c r="Y93" i="4"/>
  <c r="Y133" i="4"/>
  <c r="Y135" i="4" s="1"/>
  <c r="Y91" i="4"/>
  <c r="Q89" i="4"/>
  <c r="Q88" i="4" s="1"/>
  <c r="Q92" i="4"/>
  <c r="AM75" i="4"/>
  <c r="AM74" i="4" s="1"/>
  <c r="AM100" i="4" s="1"/>
  <c r="AM101" i="4" s="1"/>
  <c r="AM78" i="4"/>
  <c r="AM39" i="4"/>
  <c r="R38" i="1"/>
  <c r="P39" i="1"/>
  <c r="P29" i="1" s="1"/>
  <c r="T50" i="1"/>
  <c r="R51" i="1"/>
  <c r="R41" i="1" s="1"/>
  <c r="U183" i="4"/>
  <c r="U184" i="4" s="1"/>
  <c r="U185" i="4"/>
  <c r="V181" i="4" s="1"/>
  <c r="O323" i="4"/>
  <c r="P87" i="1"/>
  <c r="P77" i="1" s="1"/>
  <c r="R86" i="1"/>
  <c r="I66" i="4"/>
  <c r="I98" i="4"/>
  <c r="I99" i="4" s="1"/>
  <c r="I321" i="4"/>
  <c r="W277" i="4"/>
  <c r="W278" i="4" s="1"/>
  <c r="W76" i="4"/>
  <c r="W28" i="4"/>
  <c r="W79" i="4"/>
  <c r="W80" i="4"/>
  <c r="W77" i="4"/>
  <c r="W132" i="4"/>
  <c r="E366" i="1"/>
  <c r="E352" i="1"/>
  <c r="AC341" i="4"/>
  <c r="AC139" i="4"/>
  <c r="AC346" i="4" s="1"/>
  <c r="AC10" i="4"/>
  <c r="L15" i="1"/>
  <c r="AL307" i="4"/>
  <c r="AL308" i="4" s="1"/>
  <c r="AL93" i="4"/>
  <c r="AL133" i="4"/>
  <c r="AL135" i="4" s="1"/>
  <c r="AL52" i="4"/>
  <c r="AL64" i="4"/>
  <c r="AL90" i="4"/>
  <c r="AL91" i="4"/>
  <c r="AL94" i="4"/>
  <c r="L213" i="1"/>
  <c r="L212" i="1" s="1"/>
  <c r="I454" i="1"/>
  <c r="J425" i="1"/>
  <c r="I412" i="1"/>
  <c r="AJ98" i="4"/>
  <c r="AJ99" i="4" s="1"/>
  <c r="H66" i="4"/>
  <c r="AL277" i="4"/>
  <c r="AL278" i="4" s="1"/>
  <c r="AL77" i="4"/>
  <c r="AL76" i="4"/>
  <c r="AL80" i="4"/>
  <c r="AL79" i="4"/>
  <c r="AL132" i="4"/>
  <c r="AL28" i="4"/>
  <c r="K488" i="1"/>
  <c r="K482" i="1"/>
  <c r="K487" i="1"/>
  <c r="F487" i="1"/>
  <c r="F482" i="1"/>
  <c r="F485" i="1" s="1"/>
  <c r="F488" i="1"/>
  <c r="G352" i="1"/>
  <c r="G366" i="1"/>
  <c r="O66" i="4"/>
  <c r="D351" i="1"/>
  <c r="D326" i="1"/>
  <c r="D11" i="1" s="1"/>
  <c r="Y277" i="4"/>
  <c r="Y278" i="4" s="1"/>
  <c r="Y80" i="4"/>
  <c r="Y77" i="4"/>
  <c r="Y79" i="4"/>
  <c r="Y76" i="4"/>
  <c r="Y28" i="4"/>
  <c r="Y132" i="4"/>
  <c r="O321" i="4"/>
  <c r="N321" i="4"/>
  <c r="N323" i="4" s="1"/>
  <c r="M323" i="4"/>
  <c r="AM134" i="4"/>
  <c r="AM131" i="4"/>
  <c r="N221" i="1"/>
  <c r="N220" i="1" s="1"/>
  <c r="N16" i="1"/>
  <c r="P227" i="1"/>
  <c r="P230" i="1"/>
  <c r="L123" i="4"/>
  <c r="L345" i="4" s="1"/>
  <c r="D146" i="4"/>
  <c r="D144" i="4"/>
  <c r="D12" i="4"/>
  <c r="S277" i="4"/>
  <c r="S278" i="4" s="1"/>
  <c r="S80" i="4"/>
  <c r="S79" i="4"/>
  <c r="S77" i="4"/>
  <c r="S76" i="4"/>
  <c r="S28" i="4"/>
  <c r="S132" i="4"/>
  <c r="V277" i="4"/>
  <c r="V278" i="4" s="1"/>
  <c r="V80" i="4"/>
  <c r="V28" i="4"/>
  <c r="V77" i="4"/>
  <c r="V79" i="4"/>
  <c r="V76" i="4"/>
  <c r="V132" i="4"/>
  <c r="J321" i="4"/>
  <c r="I323" i="4"/>
  <c r="AI277" i="4"/>
  <c r="AI278" i="4" s="1"/>
  <c r="AI76" i="4"/>
  <c r="AI79" i="4"/>
  <c r="AI77" i="4"/>
  <c r="AI80" i="4"/>
  <c r="AI28" i="4"/>
  <c r="AI132" i="4"/>
  <c r="W307" i="4"/>
  <c r="W308" i="4" s="1"/>
  <c r="W90" i="4"/>
  <c r="W64" i="4"/>
  <c r="W91" i="4"/>
  <c r="W52" i="4"/>
  <c r="W94" i="4"/>
  <c r="W93" i="4"/>
  <c r="W133" i="4"/>
  <c r="P307" i="4"/>
  <c r="P308" i="4" s="1"/>
  <c r="P90" i="4"/>
  <c r="P133" i="4"/>
  <c r="P91" i="4"/>
  <c r="P94" i="4"/>
  <c r="P64" i="4"/>
  <c r="P52" i="4"/>
  <c r="P15" i="4" s="1"/>
  <c r="P93" i="4"/>
  <c r="L323" i="4"/>
  <c r="M321" i="4"/>
  <c r="AF98" i="4"/>
  <c r="AF99" i="4" s="1"/>
  <c r="T98" i="4"/>
  <c r="T99" i="4" s="1"/>
  <c r="Q238" i="1"/>
  <c r="AK98" i="4"/>
  <c r="AK99" i="4" s="1"/>
  <c r="AJ277" i="4"/>
  <c r="AJ278" i="4" s="1"/>
  <c r="AJ77" i="4"/>
  <c r="AJ132" i="4"/>
  <c r="AJ76" i="4"/>
  <c r="AJ79" i="4"/>
  <c r="AJ80" i="4"/>
  <c r="AJ28" i="4"/>
  <c r="N123" i="4"/>
  <c r="N345" i="4" s="1"/>
  <c r="AC98" i="4"/>
  <c r="AC99" i="4" s="1"/>
  <c r="N66" i="4"/>
  <c r="J334" i="1"/>
  <c r="J333" i="1" s="1"/>
  <c r="J10" i="1"/>
  <c r="T63" i="1"/>
  <c r="T53" i="1" s="1"/>
  <c r="V62" i="1"/>
  <c r="G260" i="4"/>
  <c r="AM341" i="4"/>
  <c r="AM139" i="4"/>
  <c r="AM346" i="4" s="1"/>
  <c r="AM10" i="4"/>
  <c r="AD341" i="4"/>
  <c r="AD139" i="4"/>
  <c r="AD346" i="4" s="1"/>
  <c r="AD10" i="4"/>
  <c r="Q78" i="4"/>
  <c r="Q39" i="4"/>
  <c r="Q75" i="4"/>
  <c r="Q74" i="4" s="1"/>
  <c r="Q66" i="4" s="1"/>
  <c r="Q342" i="4" s="1"/>
  <c r="I366" i="1"/>
  <c r="I352" i="1"/>
  <c r="E299" i="4"/>
  <c r="F291" i="4"/>
  <c r="I123" i="4"/>
  <c r="I345" i="4" s="1"/>
  <c r="P277" i="4"/>
  <c r="P278" i="4" s="1"/>
  <c r="P132" i="4"/>
  <c r="P76" i="4"/>
  <c r="P77" i="4"/>
  <c r="P80" i="4"/>
  <c r="P79" i="4"/>
  <c r="P28" i="4"/>
  <c r="G34" i="3"/>
  <c r="G40" i="3"/>
  <c r="H370" i="1"/>
  <c r="H479" i="1"/>
  <c r="H426" i="1"/>
  <c r="H326" i="1"/>
  <c r="H11" i="1" s="1"/>
  <c r="H351" i="1"/>
  <c r="X307" i="4"/>
  <c r="X308" i="4" s="1"/>
  <c r="X91" i="4"/>
  <c r="X90" i="4"/>
  <c r="X64" i="4"/>
  <c r="X52" i="4"/>
  <c r="X93" i="4"/>
  <c r="X133" i="4"/>
  <c r="X94" i="4"/>
  <c r="W67" i="4"/>
  <c r="P71" i="4"/>
  <c r="P27" i="4"/>
  <c r="P68" i="4"/>
  <c r="P67" i="4" s="1"/>
  <c r="P98" i="4" s="1"/>
  <c r="P99" i="4" s="1"/>
  <c r="V98" i="4"/>
  <c r="V99" i="4" s="1"/>
  <c r="AA15" i="4"/>
  <c r="H123" i="4"/>
  <c r="H345" i="4" s="1"/>
  <c r="X277" i="4"/>
  <c r="X278" i="4" s="1"/>
  <c r="X80" i="4"/>
  <c r="X77" i="4"/>
  <c r="X76" i="4"/>
  <c r="X79" i="4"/>
  <c r="X28" i="4"/>
  <c r="X132" i="4"/>
  <c r="AG67" i="4"/>
  <c r="AC89" i="4"/>
  <c r="AC88" i="4" s="1"/>
  <c r="AC92" i="4"/>
  <c r="Z307" i="4"/>
  <c r="Z308" i="4" s="1"/>
  <c r="Z133" i="4"/>
  <c r="Z135" i="4" s="1"/>
  <c r="Z52" i="4"/>
  <c r="Z94" i="4"/>
  <c r="Z64" i="4"/>
  <c r="Z93" i="4"/>
  <c r="Z91" i="4"/>
  <c r="Z90" i="4"/>
  <c r="R78" i="4"/>
  <c r="R75" i="4"/>
  <c r="R39" i="4"/>
  <c r="AJ307" i="4"/>
  <c r="AJ308" i="4" s="1"/>
  <c r="AJ90" i="4"/>
  <c r="AJ64" i="4"/>
  <c r="AJ52" i="4"/>
  <c r="AJ91" i="4"/>
  <c r="AJ93" i="4"/>
  <c r="AJ133" i="4"/>
  <c r="AJ135" i="4" s="1"/>
  <c r="AJ94" i="4"/>
  <c r="AA135" i="4"/>
  <c r="AD135" i="4"/>
  <c r="X98" i="4"/>
  <c r="X99" i="4" s="1"/>
  <c r="AF277" i="4"/>
  <c r="AF278" i="4" s="1"/>
  <c r="AF80" i="4"/>
  <c r="AF79" i="4"/>
  <c r="AF76" i="4"/>
  <c r="AF77" i="4"/>
  <c r="AF28" i="4"/>
  <c r="AF132" i="4"/>
  <c r="R233" i="1"/>
  <c r="R236" i="1"/>
  <c r="F367" i="4"/>
  <c r="F363" i="4"/>
  <c r="AH277" i="4"/>
  <c r="AH278" i="4" s="1"/>
  <c r="AH80" i="4"/>
  <c r="AH79" i="4"/>
  <c r="AH28" i="4"/>
  <c r="AH77" i="4"/>
  <c r="AH76" i="4"/>
  <c r="AH132" i="4"/>
  <c r="N245" i="1"/>
  <c r="N248" i="1"/>
  <c r="AB307" i="4"/>
  <c r="AB308" i="4" s="1"/>
  <c r="AB90" i="4"/>
  <c r="AB93" i="4"/>
  <c r="AB91" i="4"/>
  <c r="AB52" i="4"/>
  <c r="AB64" i="4"/>
  <c r="AB94" i="4"/>
  <c r="AB133" i="4"/>
  <c r="AB135" i="4" s="1"/>
  <c r="F54" i="3"/>
  <c r="F56" i="3" s="1"/>
  <c r="G46" i="3"/>
  <c r="AB277" i="4"/>
  <c r="AB278" i="4" s="1"/>
  <c r="AB132" i="4"/>
  <c r="AB76" i="4"/>
  <c r="AB79" i="4"/>
  <c r="AB80" i="4"/>
  <c r="AB77" i="4"/>
  <c r="AB28" i="4"/>
  <c r="F143" i="4"/>
  <c r="F137" i="4"/>
  <c r="Q15" i="4"/>
  <c r="AB104" i="4"/>
  <c r="AB343" i="4" s="1"/>
  <c r="AB106" i="4"/>
  <c r="Z277" i="4"/>
  <c r="Z278" i="4" s="1"/>
  <c r="Z79" i="4"/>
  <c r="Z76" i="4"/>
  <c r="Z80" i="4"/>
  <c r="Z77" i="4"/>
  <c r="Z28" i="4"/>
  <c r="Z132" i="4"/>
  <c r="G15" i="3"/>
  <c r="F26" i="3"/>
  <c r="R341" i="4"/>
  <c r="R139" i="4"/>
  <c r="R346" i="4" s="1"/>
  <c r="R10" i="4"/>
  <c r="AA67" i="4"/>
  <c r="Y67" i="4"/>
  <c r="R134" i="4"/>
  <c r="R131" i="4"/>
  <c r="AI98" i="4"/>
  <c r="AI99" i="4" s="1"/>
  <c r="AA134" i="4"/>
  <c r="AA131" i="4"/>
  <c r="R89" i="4"/>
  <c r="R88" i="4" s="1"/>
  <c r="R92" i="4"/>
  <c r="M123" i="4"/>
  <c r="M345" i="4" s="1"/>
  <c r="AF307" i="4"/>
  <c r="AF308" i="4" s="1"/>
  <c r="AF91" i="4"/>
  <c r="AF52" i="4"/>
  <c r="AF94" i="4"/>
  <c r="AF90" i="4"/>
  <c r="AF64" i="4"/>
  <c r="AF133" i="4"/>
  <c r="AF93" i="4"/>
  <c r="F351" i="1"/>
  <c r="F326" i="1"/>
  <c r="F11" i="1" s="1"/>
  <c r="F259" i="4"/>
  <c r="O232" i="1" l="1"/>
  <c r="O213" i="1" s="1"/>
  <c r="O212" i="1" s="1"/>
  <c r="K454" i="1"/>
  <c r="N244" i="1"/>
  <c r="N213" i="1" s="1"/>
  <c r="N212" i="1" s="1"/>
  <c r="K412" i="1"/>
  <c r="S238" i="1"/>
  <c r="I485" i="1"/>
  <c r="R232" i="1"/>
  <c r="Q236" i="1"/>
  <c r="Q233" i="1"/>
  <c r="M212" i="1"/>
  <c r="M325" i="1" s="1"/>
  <c r="M351" i="1" s="1"/>
  <c r="S63" i="1"/>
  <c r="S53" i="1" s="1"/>
  <c r="U62" i="1"/>
  <c r="O334" i="1"/>
  <c r="O333" i="1" s="1"/>
  <c r="K485" i="1"/>
  <c r="P226" i="1"/>
  <c r="Q226" i="1"/>
  <c r="Q221" i="1"/>
  <c r="Q220" i="1" s="1"/>
  <c r="Q16" i="1"/>
  <c r="Q15" i="1" s="1"/>
  <c r="Q334" i="1" s="1"/>
  <c r="Q333" i="1" s="1"/>
  <c r="U38" i="1"/>
  <c r="S39" i="1"/>
  <c r="S29" i="1" s="1"/>
  <c r="L327" i="1"/>
  <c r="L328" i="1" s="1"/>
  <c r="S26" i="1"/>
  <c r="Q27" i="1"/>
  <c r="L177" i="4"/>
  <c r="L178" i="4" s="1"/>
  <c r="L179" i="4" s="1"/>
  <c r="M175" i="4" s="1"/>
  <c r="P341" i="4"/>
  <c r="P139" i="4"/>
  <c r="P346" i="4" s="1"/>
  <c r="P10" i="4"/>
  <c r="V189" i="4"/>
  <c r="V190" i="4" s="1"/>
  <c r="V191" i="4" s="1"/>
  <c r="W187" i="4" s="1"/>
  <c r="AH131" i="4"/>
  <c r="AH134" i="4"/>
  <c r="L334" i="1"/>
  <c r="L333" i="1" s="1"/>
  <c r="L480" i="1" s="1"/>
  <c r="L483" i="1" s="1"/>
  <c r="L325" i="1"/>
  <c r="L10" i="1"/>
  <c r="W131" i="4"/>
  <c r="W134" i="4"/>
  <c r="AA341" i="4"/>
  <c r="AA139" i="4"/>
  <c r="AA346" i="4" s="1"/>
  <c r="AA10" i="4"/>
  <c r="X89" i="4"/>
  <c r="X92" i="4"/>
  <c r="J351" i="1"/>
  <c r="J326" i="1"/>
  <c r="J11" i="1" s="1"/>
  <c r="W89" i="4"/>
  <c r="W88" i="4" s="1"/>
  <c r="W92" i="4"/>
  <c r="H342" i="4"/>
  <c r="H340" i="4" s="1"/>
  <c r="H96" i="4"/>
  <c r="AB341" i="4"/>
  <c r="AB139" i="4"/>
  <c r="AB346" i="4" s="1"/>
  <c r="AB10" i="4"/>
  <c r="U131" i="4"/>
  <c r="U134" i="4"/>
  <c r="H16" i="3"/>
  <c r="G24" i="3"/>
  <c r="H15" i="3" s="1"/>
  <c r="W75" i="1"/>
  <c r="W65" i="1" s="1"/>
  <c r="Y74" i="1"/>
  <c r="G285" i="4"/>
  <c r="G279" i="4"/>
  <c r="AA123" i="4"/>
  <c r="AA345" i="4" s="1"/>
  <c r="Q341" i="4"/>
  <c r="Q139" i="4"/>
  <c r="Q346" i="4" s="1"/>
  <c r="Q96" i="4"/>
  <c r="Q10" i="4"/>
  <c r="AB134" i="4"/>
  <c r="AB131" i="4"/>
  <c r="R74" i="4"/>
  <c r="AG98" i="4"/>
  <c r="AG99" i="4" s="1"/>
  <c r="P78" i="4"/>
  <c r="P75" i="4"/>
  <c r="P74" i="4" s="1"/>
  <c r="P100" i="4" s="1"/>
  <c r="P101" i="4" s="1"/>
  <c r="P39" i="4"/>
  <c r="I367" i="1"/>
  <c r="I369" i="1"/>
  <c r="I374" i="1" s="1"/>
  <c r="N15" i="1"/>
  <c r="I342" i="4"/>
  <c r="I96" i="4"/>
  <c r="H347" i="4"/>
  <c r="AB67" i="4"/>
  <c r="T78" i="4"/>
  <c r="T75" i="4"/>
  <c r="T74" i="4" s="1"/>
  <c r="T66" i="4" s="1"/>
  <c r="T342" i="4" s="1"/>
  <c r="T39" i="4"/>
  <c r="T15" i="4"/>
  <c r="V135" i="4"/>
  <c r="AE89" i="4"/>
  <c r="AE88" i="4" s="1"/>
  <c r="AE92" i="4"/>
  <c r="AF131" i="4"/>
  <c r="AF134" i="4"/>
  <c r="X134" i="4"/>
  <c r="X131" i="4"/>
  <c r="N342" i="4"/>
  <c r="N96" i="4"/>
  <c r="P92" i="4"/>
  <c r="P89" i="4"/>
  <c r="V131" i="4"/>
  <c r="V134" i="4"/>
  <c r="E367" i="1"/>
  <c r="E369" i="1"/>
  <c r="E374" i="1" s="1"/>
  <c r="R87" i="1"/>
  <c r="R77" i="1" s="1"/>
  <c r="T86" i="1"/>
  <c r="H359" i="4"/>
  <c r="H358" i="4" s="1"/>
  <c r="H156" i="4"/>
  <c r="H161" i="4"/>
  <c r="H148" i="4"/>
  <c r="AD123" i="4"/>
  <c r="AD345" i="4" s="1"/>
  <c r="AM66" i="4"/>
  <c r="G269" i="4"/>
  <c r="H261" i="4"/>
  <c r="AG100" i="4"/>
  <c r="AG101" i="4" s="1"/>
  <c r="AG78" i="4"/>
  <c r="AG39" i="4"/>
  <c r="AG75" i="4"/>
  <c r="AG74" i="4" s="1"/>
  <c r="AG15" i="4"/>
  <c r="AE131" i="4"/>
  <c r="AE134" i="4"/>
  <c r="AN67" i="4"/>
  <c r="G98" i="4"/>
  <c r="G99" i="4" s="1"/>
  <c r="Q244" i="1"/>
  <c r="AE78" i="4"/>
  <c r="AE75" i="4"/>
  <c r="AE74" i="4" s="1"/>
  <c r="AE66" i="4" s="1"/>
  <c r="AE342" i="4" s="1"/>
  <c r="AE39" i="4"/>
  <c r="AE15" i="4"/>
  <c r="M120" i="4"/>
  <c r="M97" i="4"/>
  <c r="M11" i="4" s="1"/>
  <c r="AN81" i="4"/>
  <c r="G102" i="4"/>
  <c r="G103" i="4" s="1"/>
  <c r="H366" i="1"/>
  <c r="H352" i="1"/>
  <c r="Q123" i="4"/>
  <c r="Q345" i="4" s="1"/>
  <c r="AI89" i="4"/>
  <c r="AI88" i="4" s="1"/>
  <c r="AI92" i="4"/>
  <c r="G305" i="4"/>
  <c r="G310" i="4"/>
  <c r="V89" i="4"/>
  <c r="V92" i="4"/>
  <c r="P135" i="4"/>
  <c r="D366" i="1"/>
  <c r="D352" i="1"/>
  <c r="T89" i="4"/>
  <c r="T88" i="4" s="1"/>
  <c r="T92" i="4"/>
  <c r="F304" i="4"/>
  <c r="F316" i="4"/>
  <c r="E143" i="4"/>
  <c r="E137" i="4"/>
  <c r="G131" i="4"/>
  <c r="G134" i="4"/>
  <c r="K351" i="1"/>
  <c r="K326" i="1"/>
  <c r="K11" i="1" s="1"/>
  <c r="G50" i="3"/>
  <c r="G45" i="3"/>
  <c r="AF100" i="4"/>
  <c r="AF101" i="4" s="1"/>
  <c r="AF78" i="4"/>
  <c r="AF39" i="4"/>
  <c r="AF75" i="4"/>
  <c r="AF74" i="4" s="1"/>
  <c r="AF15" i="4"/>
  <c r="X75" i="4"/>
  <c r="X78" i="4"/>
  <c r="X39" i="4"/>
  <c r="X15" i="4"/>
  <c r="M479" i="1"/>
  <c r="M426" i="1"/>
  <c r="M370" i="1"/>
  <c r="U78" i="4"/>
  <c r="U75" i="4"/>
  <c r="U74" i="4" s="1"/>
  <c r="U100" i="4" s="1"/>
  <c r="U101" i="4" s="1"/>
  <c r="U39" i="4"/>
  <c r="U15" i="4"/>
  <c r="F144" i="4"/>
  <c r="F12" i="4"/>
  <c r="G271" i="4"/>
  <c r="G259" i="4"/>
  <c r="AL75" i="4"/>
  <c r="AL74" i="4" s="1"/>
  <c r="AL66" i="4" s="1"/>
  <c r="AL342" i="4" s="1"/>
  <c r="AL78" i="4"/>
  <c r="AL100" i="4"/>
  <c r="AL101" i="4" s="1"/>
  <c r="AL39" i="4"/>
  <c r="AL15" i="4"/>
  <c r="AI131" i="4"/>
  <c r="AI134" i="4"/>
  <c r="V183" i="4"/>
  <c r="V184" i="4" s="1"/>
  <c r="V185" i="4" s="1"/>
  <c r="W181" i="4" s="1"/>
  <c r="S135" i="4"/>
  <c r="AH39" i="4"/>
  <c r="AH78" i="4"/>
  <c r="AH75" i="4"/>
  <c r="AH74" i="4" s="1"/>
  <c r="AH15" i="4"/>
  <c r="P134" i="4"/>
  <c r="P131" i="4"/>
  <c r="AJ100" i="4"/>
  <c r="AJ101" i="4" s="1"/>
  <c r="AJ39" i="4"/>
  <c r="AJ75" i="4"/>
  <c r="AJ74" i="4" s="1"/>
  <c r="AJ78" i="4"/>
  <c r="AJ15" i="4"/>
  <c r="AI78" i="4"/>
  <c r="AI39" i="4"/>
  <c r="AI75" i="4"/>
  <c r="AI74" i="4" s="1"/>
  <c r="AI15" i="4"/>
  <c r="V78" i="4"/>
  <c r="V75" i="4"/>
  <c r="V74" i="4" s="1"/>
  <c r="V100" i="4" s="1"/>
  <c r="V101" i="4" s="1"/>
  <c r="V39" i="4"/>
  <c r="V15" i="4"/>
  <c r="Y98" i="4"/>
  <c r="Y99" i="4" s="1"/>
  <c r="AJ89" i="4"/>
  <c r="AJ92" i="4"/>
  <c r="X62" i="1"/>
  <c r="V63" i="1"/>
  <c r="V53" i="1" s="1"/>
  <c r="AD66" i="4"/>
  <c r="O342" i="4"/>
  <c r="O96" i="4"/>
  <c r="W78" i="4"/>
  <c r="W75" i="4"/>
  <c r="W39" i="4"/>
  <c r="W15" i="4"/>
  <c r="R230" i="1"/>
  <c r="R227" i="1"/>
  <c r="P238" i="1"/>
  <c r="S230" i="1"/>
  <c r="S227" i="1"/>
  <c r="AK89" i="4"/>
  <c r="AK88" i="4" s="1"/>
  <c r="AK92" i="4"/>
  <c r="J480" i="1"/>
  <c r="J483" i="1" s="1"/>
  <c r="K442" i="1"/>
  <c r="K372" i="1"/>
  <c r="Z75" i="4"/>
  <c r="Z74" i="4" s="1"/>
  <c r="Z66" i="4" s="1"/>
  <c r="Z342" i="4" s="1"/>
  <c r="Z78" i="4"/>
  <c r="Z39" i="4"/>
  <c r="Z15" i="4"/>
  <c r="Q100" i="4"/>
  <c r="Q101" i="4" s="1"/>
  <c r="S89" i="4"/>
  <c r="S88" i="4" s="1"/>
  <c r="S92" i="4"/>
  <c r="AA66" i="4"/>
  <c r="AA342" i="4" s="1"/>
  <c r="AA98" i="4"/>
  <c r="AA99" i="4" s="1"/>
  <c r="AB78" i="4"/>
  <c r="AB39" i="4"/>
  <c r="AB75" i="4"/>
  <c r="AB92" i="4"/>
  <c r="AB89" i="4"/>
  <c r="AB88" i="4" s="1"/>
  <c r="Z89" i="4"/>
  <c r="Z88" i="4" s="1"/>
  <c r="Z92" i="4"/>
  <c r="W98" i="4"/>
  <c r="W99" i="4" s="1"/>
  <c r="H454" i="1"/>
  <c r="H427" i="1"/>
  <c r="H413" i="1" s="1"/>
  <c r="I425" i="1"/>
  <c r="I427" i="1" s="1"/>
  <c r="I413" i="1" s="1"/>
  <c r="H412" i="1"/>
  <c r="T233" i="1"/>
  <c r="T236" i="1"/>
  <c r="D383" i="4"/>
  <c r="D381" i="4" s="1"/>
  <c r="E146" i="4"/>
  <c r="G369" i="1"/>
  <c r="G438" i="1" s="1"/>
  <c r="G441" i="1" s="1"/>
  <c r="G367" i="1"/>
  <c r="T51" i="1"/>
  <c r="T41" i="1" s="1"/>
  <c r="V50" i="1"/>
  <c r="T135" i="4"/>
  <c r="L342" i="4"/>
  <c r="L96" i="4"/>
  <c r="W50" i="1"/>
  <c r="U51" i="1"/>
  <c r="U41" i="1" s="1"/>
  <c r="O479" i="1"/>
  <c r="O426" i="1"/>
  <c r="O370" i="1"/>
  <c r="G78" i="4"/>
  <c r="G75" i="4"/>
  <c r="G74" i="4" s="1"/>
  <c r="AN74" i="4" s="1"/>
  <c r="G100" i="4"/>
  <c r="G101" i="4" s="1"/>
  <c r="G39" i="4"/>
  <c r="AN39" i="4" s="1"/>
  <c r="AN28" i="4"/>
  <c r="G15" i="4"/>
  <c r="W86" i="1"/>
  <c r="U87" i="1"/>
  <c r="U77" i="1" s="1"/>
  <c r="F366" i="1"/>
  <c r="F352" i="1"/>
  <c r="H488" i="1"/>
  <c r="H482" i="1"/>
  <c r="H485" i="1" s="1"/>
  <c r="H487" i="1"/>
  <c r="W135" i="4"/>
  <c r="S131" i="4"/>
  <c r="S134" i="4"/>
  <c r="P221" i="1"/>
  <c r="P220" i="1" s="1"/>
  <c r="P16" i="1"/>
  <c r="Y89" i="4"/>
  <c r="Y92" i="4"/>
  <c r="AC123" i="4"/>
  <c r="AC345" i="4" s="1"/>
  <c r="AL98" i="4"/>
  <c r="AL99" i="4" s="1"/>
  <c r="K342" i="4"/>
  <c r="K96" i="4"/>
  <c r="AE135" i="4"/>
  <c r="AH92" i="4"/>
  <c r="AH89" i="4"/>
  <c r="AH88" i="4" s="1"/>
  <c r="AG89" i="4"/>
  <c r="AG92" i="4"/>
  <c r="M162" i="4"/>
  <c r="M166" i="4"/>
  <c r="M167" i="4" s="1"/>
  <c r="N165" i="4" s="1"/>
  <c r="S248" i="1"/>
  <c r="S245" i="1"/>
  <c r="AK78" i="4"/>
  <c r="AK75" i="4"/>
  <c r="AK74" i="4" s="1"/>
  <c r="AK66" i="4" s="1"/>
  <c r="AK342" i="4" s="1"/>
  <c r="AK39" i="4"/>
  <c r="AK15" i="4"/>
  <c r="Z131" i="4"/>
  <c r="Z134" i="4"/>
  <c r="AM123" i="4"/>
  <c r="AM345" i="4" s="1"/>
  <c r="P245" i="1"/>
  <c r="P248" i="1"/>
  <c r="AL134" i="4"/>
  <c r="AL131" i="4"/>
  <c r="X135" i="4"/>
  <c r="F290" i="4"/>
  <c r="F295" i="4"/>
  <c r="AJ134" i="4"/>
  <c r="AJ131" i="4"/>
  <c r="S78" i="4"/>
  <c r="S75" i="4"/>
  <c r="S74" i="4" s="1"/>
  <c r="S66" i="4" s="1"/>
  <c r="S342" i="4" s="1"/>
  <c r="S100" i="4"/>
  <c r="S101" i="4" s="1"/>
  <c r="S39" i="4"/>
  <c r="S15" i="4"/>
  <c r="Y134" i="4"/>
  <c r="Y131" i="4"/>
  <c r="AC96" i="4"/>
  <c r="R39" i="1"/>
  <c r="R29" i="1" s="1"/>
  <c r="T38" i="1"/>
  <c r="T131" i="4"/>
  <c r="T134" i="4"/>
  <c r="R242" i="1"/>
  <c r="R239" i="1"/>
  <c r="T27" i="1"/>
  <c r="V26" i="1"/>
  <c r="K321" i="4"/>
  <c r="K323" i="4" s="1"/>
  <c r="J323" i="4"/>
  <c r="L162" i="4"/>
  <c r="AK134" i="4"/>
  <c r="AK131" i="4"/>
  <c r="AF92" i="4"/>
  <c r="AF89" i="4"/>
  <c r="AF88" i="4" s="1"/>
  <c r="R123" i="4"/>
  <c r="R345" i="4" s="1"/>
  <c r="AF135" i="4"/>
  <c r="F375" i="4"/>
  <c r="G339" i="4"/>
  <c r="F13" i="4"/>
  <c r="H31" i="3"/>
  <c r="H35" i="3" s="1"/>
  <c r="G39" i="3"/>
  <c r="H30" i="3" s="1"/>
  <c r="E376" i="4"/>
  <c r="E373" i="4" s="1"/>
  <c r="E301" i="4"/>
  <c r="E289" i="4"/>
  <c r="J370" i="1"/>
  <c r="J426" i="1"/>
  <c r="J479" i="1"/>
  <c r="Y75" i="4"/>
  <c r="Y78" i="4"/>
  <c r="Y39" i="4"/>
  <c r="Y15" i="4"/>
  <c r="AL89" i="4"/>
  <c r="AL88" i="4" s="1"/>
  <c r="AL92" i="4"/>
  <c r="U98" i="4"/>
  <c r="U99" i="4" s="1"/>
  <c r="T75" i="1"/>
  <c r="T65" i="1" s="1"/>
  <c r="V74" i="1"/>
  <c r="U89" i="4"/>
  <c r="U92" i="4"/>
  <c r="U242" i="1"/>
  <c r="U239" i="1"/>
  <c r="AG131" i="4"/>
  <c r="AG134" i="4"/>
  <c r="J97" i="4"/>
  <c r="J11" i="4" s="1"/>
  <c r="J120" i="4"/>
  <c r="G275" i="4"/>
  <c r="F274" i="4"/>
  <c r="F286" i="4"/>
  <c r="M326" i="1" l="1"/>
  <c r="M11" i="1" s="1"/>
  <c r="R238" i="1"/>
  <c r="Q232" i="1"/>
  <c r="Q213" i="1" s="1"/>
  <c r="Q212" i="1" s="1"/>
  <c r="M480" i="1"/>
  <c r="M483" i="1" s="1"/>
  <c r="R226" i="1"/>
  <c r="W62" i="1"/>
  <c r="U63" i="1"/>
  <c r="U53" i="1" s="1"/>
  <c r="S233" i="1"/>
  <c r="S236" i="1"/>
  <c r="I438" i="1"/>
  <c r="I441" i="1" s="1"/>
  <c r="Q10" i="1"/>
  <c r="Q370" i="1" s="1"/>
  <c r="S226" i="1"/>
  <c r="O327" i="1"/>
  <c r="O328" i="1" s="1"/>
  <c r="G374" i="1"/>
  <c r="G12" i="1" s="1"/>
  <c r="U39" i="1"/>
  <c r="U29" i="1" s="1"/>
  <c r="U221" i="1" s="1"/>
  <c r="U220" i="1" s="1"/>
  <c r="W38" i="1"/>
  <c r="S221" i="1"/>
  <c r="S220" i="1" s="1"/>
  <c r="S16" i="1"/>
  <c r="S15" i="1" s="1"/>
  <c r="S334" i="1" s="1"/>
  <c r="S333" i="1" s="1"/>
  <c r="E438" i="1"/>
  <c r="E441" i="1" s="1"/>
  <c r="N327" i="1"/>
  <c r="N328" i="1" s="1"/>
  <c r="U26" i="1"/>
  <c r="S27" i="1"/>
  <c r="W189" i="4"/>
  <c r="W190" i="4" s="1"/>
  <c r="W191" i="4" s="1"/>
  <c r="X187" i="4" s="1"/>
  <c r="E375" i="1"/>
  <c r="E12" i="1"/>
  <c r="W185" i="4"/>
  <c r="X181" i="4" s="1"/>
  <c r="W183" i="4"/>
  <c r="W184" i="4" s="1"/>
  <c r="M177" i="4"/>
  <c r="M178" i="4" s="1"/>
  <c r="M179" i="4" s="1"/>
  <c r="N175" i="4" s="1"/>
  <c r="AG341" i="4"/>
  <c r="AG139" i="4"/>
  <c r="AG346" i="4" s="1"/>
  <c r="AG10" i="4"/>
  <c r="I159" i="4"/>
  <c r="H387" i="4"/>
  <c r="H386" i="4" s="1"/>
  <c r="P88" i="4"/>
  <c r="P66" i="4" s="1"/>
  <c r="N334" i="1"/>
  <c r="N333" i="1" s="1"/>
  <c r="N480" i="1" s="1"/>
  <c r="N483" i="1" s="1"/>
  <c r="N325" i="1"/>
  <c r="N10" i="1"/>
  <c r="G284" i="4"/>
  <c r="H276" i="4"/>
  <c r="H280" i="4" s="1"/>
  <c r="H120" i="4"/>
  <c r="H97" i="4"/>
  <c r="H11" i="4" s="1"/>
  <c r="D393" i="4"/>
  <c r="D379" i="4"/>
  <c r="D371" i="4" s="1"/>
  <c r="Z341" i="4"/>
  <c r="Z139" i="4"/>
  <c r="Z346" i="4" s="1"/>
  <c r="Z96" i="4"/>
  <c r="Z10" i="4"/>
  <c r="N425" i="1"/>
  <c r="M454" i="1"/>
  <c r="M412" i="1"/>
  <c r="AE341" i="4"/>
  <c r="AE96" i="4"/>
  <c r="AE139" i="4"/>
  <c r="AE346" i="4" s="1"/>
  <c r="AE10" i="4"/>
  <c r="R66" i="4"/>
  <c r="R100" i="4"/>
  <c r="R101" i="4" s="1"/>
  <c r="AB74" i="4"/>
  <c r="AB100" i="4" s="1"/>
  <c r="AB101" i="4" s="1"/>
  <c r="V341" i="4"/>
  <c r="V139" i="4"/>
  <c r="V346" i="4" s="1"/>
  <c r="V10" i="4"/>
  <c r="AJ66" i="4"/>
  <c r="AJ342" i="4" s="1"/>
  <c r="M487" i="1"/>
  <c r="M488" i="1"/>
  <c r="M482" i="1"/>
  <c r="G55" i="3"/>
  <c r="G12" i="3"/>
  <c r="G49" i="3"/>
  <c r="G11" i="3" s="1"/>
  <c r="N97" i="4"/>
  <c r="N11" i="4" s="1"/>
  <c r="N120" i="4"/>
  <c r="T341" i="4"/>
  <c r="T139" i="4"/>
  <c r="T346" i="4" s="1"/>
  <c r="T96" i="4"/>
  <c r="T10" i="4"/>
  <c r="AB123" i="4"/>
  <c r="AB345" i="4" s="1"/>
  <c r="Y75" i="1"/>
  <c r="Y65" i="1" s="1"/>
  <c r="AA74" i="1"/>
  <c r="Z123" i="4"/>
  <c r="Z345" i="4" s="1"/>
  <c r="AG123" i="4"/>
  <c r="AG345" i="4" s="1"/>
  <c r="Y88" i="4"/>
  <c r="U238" i="1"/>
  <c r="AL123" i="4"/>
  <c r="AL345" i="4" s="1"/>
  <c r="AK341" i="4"/>
  <c r="AK139" i="4"/>
  <c r="AK346" i="4" s="1"/>
  <c r="AK96" i="4"/>
  <c r="AK10" i="4"/>
  <c r="AG88" i="4"/>
  <c r="AG66" i="4" s="1"/>
  <c r="P15" i="1"/>
  <c r="T232" i="1"/>
  <c r="AD342" i="4"/>
  <c r="AD96" i="4"/>
  <c r="X341" i="4"/>
  <c r="X139" i="4"/>
  <c r="X346" i="4" s="1"/>
  <c r="X10" i="4"/>
  <c r="G26" i="3"/>
  <c r="AE100" i="4"/>
  <c r="AE101" i="4" s="1"/>
  <c r="T87" i="1"/>
  <c r="T77" i="1" s="1"/>
  <c r="V86" i="1"/>
  <c r="W242" i="1"/>
  <c r="W239" i="1"/>
  <c r="J454" i="1"/>
  <c r="J427" i="1"/>
  <c r="J413" i="1" s="1"/>
  <c r="K425" i="1"/>
  <c r="K427" i="1" s="1"/>
  <c r="K413" i="1" s="1"/>
  <c r="J412" i="1"/>
  <c r="AJ341" i="4"/>
  <c r="AJ139" i="4"/>
  <c r="AJ346" i="4" s="1"/>
  <c r="AJ10" i="4"/>
  <c r="X63" i="1"/>
  <c r="X53" i="1" s="1"/>
  <c r="Z62" i="1"/>
  <c r="P123" i="4"/>
  <c r="P345" i="4" s="1"/>
  <c r="K352" i="1"/>
  <c r="K366" i="1"/>
  <c r="H20" i="3"/>
  <c r="H19" i="3" s="1"/>
  <c r="H25" i="3"/>
  <c r="W123" i="4"/>
  <c r="W345" i="4" s="1"/>
  <c r="H34" i="3"/>
  <c r="H40" i="3"/>
  <c r="AI123" i="4"/>
  <c r="AI345" i="4" s="1"/>
  <c r="D369" i="1"/>
  <c r="D367" i="1"/>
  <c r="H260" i="4"/>
  <c r="T100" i="4"/>
  <c r="T101" i="4" s="1"/>
  <c r="J366" i="1"/>
  <c r="J352" i="1"/>
  <c r="L479" i="1"/>
  <c r="L426" i="1"/>
  <c r="L370" i="1"/>
  <c r="E371" i="4"/>
  <c r="AK123" i="4"/>
  <c r="AK345" i="4" s="1"/>
  <c r="T123" i="4"/>
  <c r="T345" i="4" s="1"/>
  <c r="V233" i="1"/>
  <c r="V236" i="1"/>
  <c r="R248" i="1"/>
  <c r="R245" i="1"/>
  <c r="P244" i="1"/>
  <c r="P213" i="1" s="1"/>
  <c r="U230" i="1"/>
  <c r="U227" i="1"/>
  <c r="W341" i="4"/>
  <c r="W139" i="4"/>
  <c r="W346" i="4" s="1"/>
  <c r="W10" i="4"/>
  <c r="AJ88" i="4"/>
  <c r="AI341" i="4"/>
  <c r="AI139" i="4"/>
  <c r="AI346" i="4" s="1"/>
  <c r="AI96" i="4"/>
  <c r="AI10" i="4"/>
  <c r="AH341" i="4"/>
  <c r="AH139" i="4"/>
  <c r="AH346" i="4" s="1"/>
  <c r="AH96" i="4"/>
  <c r="AH10" i="4"/>
  <c r="U341" i="4"/>
  <c r="U139" i="4"/>
  <c r="U346" i="4" s="1"/>
  <c r="U10" i="4"/>
  <c r="X74" i="4"/>
  <c r="G123" i="4"/>
  <c r="G345" i="4" s="1"/>
  <c r="AN131" i="4"/>
  <c r="AN123" i="4" s="1"/>
  <c r="AN11" i="4" s="1"/>
  <c r="AB66" i="4"/>
  <c r="AB98" i="4"/>
  <c r="AB99" i="4" s="1"/>
  <c r="U123" i="4"/>
  <c r="U345" i="4" s="1"/>
  <c r="L351" i="1"/>
  <c r="L326" i="1"/>
  <c r="L11" i="1" s="1"/>
  <c r="O480" i="1"/>
  <c r="O483" i="1" s="1"/>
  <c r="O325" i="1"/>
  <c r="X50" i="1"/>
  <c r="V51" i="1"/>
  <c r="V41" i="1" s="1"/>
  <c r="AJ123" i="4"/>
  <c r="AJ345" i="4" s="1"/>
  <c r="F367" i="1"/>
  <c r="F369" i="1"/>
  <c r="F374" i="1" s="1"/>
  <c r="O454" i="1"/>
  <c r="P425" i="1"/>
  <c r="O412" i="1"/>
  <c r="K97" i="4"/>
  <c r="K11" i="4" s="1"/>
  <c r="K120" i="4"/>
  <c r="M366" i="1"/>
  <c r="M352" i="1"/>
  <c r="AC120" i="4"/>
  <c r="AC97" i="4"/>
  <c r="AC11" i="4" s="1"/>
  <c r="S244" i="1"/>
  <c r="U245" i="1"/>
  <c r="U248" i="1"/>
  <c r="W51" i="1"/>
  <c r="W41" i="1" s="1"/>
  <c r="Y50" i="1"/>
  <c r="AI66" i="4"/>
  <c r="AI342" i="4" s="1"/>
  <c r="AH66" i="4"/>
  <c r="AH342" i="4" s="1"/>
  <c r="AF341" i="4"/>
  <c r="AF139" i="4"/>
  <c r="AF346" i="4" s="1"/>
  <c r="AF96" i="4"/>
  <c r="AF10" i="4"/>
  <c r="AM342" i="4"/>
  <c r="AM96" i="4"/>
  <c r="AF123" i="4"/>
  <c r="AF345" i="4" s="1"/>
  <c r="X88" i="4"/>
  <c r="E383" i="4"/>
  <c r="E381" i="4" s="1"/>
  <c r="E379" i="4" s="1"/>
  <c r="F146" i="4"/>
  <c r="T230" i="1"/>
  <c r="T227" i="1"/>
  <c r="Z100" i="4"/>
  <c r="Z101" i="4" s="1"/>
  <c r="X123" i="4"/>
  <c r="X345" i="4" s="1"/>
  <c r="V38" i="1"/>
  <c r="T39" i="1"/>
  <c r="T29" i="1" s="1"/>
  <c r="O488" i="1"/>
  <c r="O487" i="1"/>
  <c r="O482" i="1"/>
  <c r="S123" i="4"/>
  <c r="S345" i="4" s="1"/>
  <c r="T239" i="1"/>
  <c r="T242" i="1"/>
  <c r="Y74" i="4"/>
  <c r="Y123" i="4"/>
  <c r="Y345" i="4" s="1"/>
  <c r="F300" i="4"/>
  <c r="F294" i="4"/>
  <c r="F255" i="4" s="1"/>
  <c r="F256" i="4"/>
  <c r="W87" i="1"/>
  <c r="W77" i="1" s="1"/>
  <c r="Y86" i="1"/>
  <c r="AF66" i="4"/>
  <c r="AF342" i="4" s="1"/>
  <c r="E144" i="4"/>
  <c r="E12" i="4"/>
  <c r="V88" i="4"/>
  <c r="V66" i="4" s="1"/>
  <c r="G66" i="4"/>
  <c r="H369" i="1"/>
  <c r="H374" i="1" s="1"/>
  <c r="H367" i="1"/>
  <c r="H270" i="4"/>
  <c r="H265" i="4"/>
  <c r="H264" i="4" s="1"/>
  <c r="Q97" i="4"/>
  <c r="Q11" i="4" s="1"/>
  <c r="Q120" i="4"/>
  <c r="U88" i="4"/>
  <c r="U66" i="4" s="1"/>
  <c r="U342" i="4" s="1"/>
  <c r="R221" i="1"/>
  <c r="R220" i="1" s="1"/>
  <c r="R16" i="1"/>
  <c r="AK100" i="4"/>
  <c r="AK101" i="4" s="1"/>
  <c r="G286" i="4"/>
  <c r="G41" i="3"/>
  <c r="N166" i="4"/>
  <c r="N167" i="4" s="1"/>
  <c r="O165" i="4" s="1"/>
  <c r="G341" i="4"/>
  <c r="G139" i="4"/>
  <c r="G10" i="4"/>
  <c r="AN15" i="4"/>
  <c r="W74" i="4"/>
  <c r="AI100" i="4"/>
  <c r="AI101" i="4" s="1"/>
  <c r="AL341" i="4"/>
  <c r="AL139" i="4"/>
  <c r="AL346" i="4" s="1"/>
  <c r="AL96" i="4"/>
  <c r="AL10" i="4"/>
  <c r="G315" i="4"/>
  <c r="G309" i="4"/>
  <c r="I120" i="4"/>
  <c r="I97" i="4"/>
  <c r="I11" i="4" s="1"/>
  <c r="AA96" i="4"/>
  <c r="O120" i="4"/>
  <c r="O97" i="4"/>
  <c r="O11" i="4" s="1"/>
  <c r="Y341" i="4"/>
  <c r="Y139" i="4"/>
  <c r="Y346" i="4" s="1"/>
  <c r="Y10" i="4"/>
  <c r="I375" i="1"/>
  <c r="I12" i="1"/>
  <c r="V75" i="1"/>
  <c r="V65" i="1" s="1"/>
  <c r="X74" i="1"/>
  <c r="J136" i="4"/>
  <c r="J121" i="4"/>
  <c r="J488" i="1"/>
  <c r="J482" i="1"/>
  <c r="J485" i="1" s="1"/>
  <c r="J487" i="1"/>
  <c r="X26" i="1"/>
  <c r="V27" i="1"/>
  <c r="S341" i="4"/>
  <c r="S139" i="4"/>
  <c r="S346" i="4" s="1"/>
  <c r="S96" i="4"/>
  <c r="S10" i="4"/>
  <c r="L120" i="4"/>
  <c r="L97" i="4"/>
  <c r="L11" i="4" s="1"/>
  <c r="AH100" i="4"/>
  <c r="AH101" i="4" s="1"/>
  <c r="M136" i="4"/>
  <c r="M121" i="4"/>
  <c r="AE123" i="4"/>
  <c r="AE345" i="4" s="1"/>
  <c r="V123" i="4"/>
  <c r="V345" i="4" s="1"/>
  <c r="AH123" i="4"/>
  <c r="AH345" i="4" s="1"/>
  <c r="D438" i="1" l="1"/>
  <c r="D441" i="1" s="1"/>
  <c r="D443" i="1" s="1"/>
  <c r="W238" i="1"/>
  <c r="R244" i="1"/>
  <c r="R213" i="1" s="1"/>
  <c r="R212" i="1" s="1"/>
  <c r="M485" i="1"/>
  <c r="G375" i="1"/>
  <c r="U226" i="1"/>
  <c r="Y62" i="1"/>
  <c r="W63" i="1"/>
  <c r="W53" i="1" s="1"/>
  <c r="S232" i="1"/>
  <c r="S213" i="1" s="1"/>
  <c r="S212" i="1" s="1"/>
  <c r="U233" i="1"/>
  <c r="U236" i="1"/>
  <c r="Q479" i="1"/>
  <c r="Q482" i="1" s="1"/>
  <c r="Q426" i="1"/>
  <c r="Q412" i="1" s="1"/>
  <c r="T226" i="1"/>
  <c r="Q327" i="1"/>
  <c r="Q328" i="1" s="1"/>
  <c r="U16" i="1"/>
  <c r="U15" i="1" s="1"/>
  <c r="U334" i="1" s="1"/>
  <c r="U333" i="1" s="1"/>
  <c r="O485" i="1"/>
  <c r="S10" i="1"/>
  <c r="S479" i="1" s="1"/>
  <c r="Y38" i="1"/>
  <c r="W39" i="1"/>
  <c r="W29" i="1" s="1"/>
  <c r="W221" i="1" s="1"/>
  <c r="W220" i="1" s="1"/>
  <c r="F438" i="1"/>
  <c r="F441" i="1" s="1"/>
  <c r="H438" i="1"/>
  <c r="H441" i="1" s="1"/>
  <c r="D374" i="1"/>
  <c r="D375" i="1" s="1"/>
  <c r="U27" i="1"/>
  <c r="W26" i="1"/>
  <c r="P212" i="1"/>
  <c r="P325" i="1" s="1"/>
  <c r="P327" i="1"/>
  <c r="P328" i="1" s="1"/>
  <c r="AG342" i="4"/>
  <c r="AG96" i="4"/>
  <c r="V342" i="4"/>
  <c r="V96" i="4"/>
  <c r="H375" i="1"/>
  <c r="H12" i="1"/>
  <c r="N177" i="4"/>
  <c r="N178" i="4" s="1"/>
  <c r="N179" i="4"/>
  <c r="O175" i="4" s="1"/>
  <c r="X189" i="4"/>
  <c r="X190" i="4" s="1"/>
  <c r="X191" i="4" s="1"/>
  <c r="Y187" i="4" s="1"/>
  <c r="R342" i="4"/>
  <c r="R96" i="4"/>
  <c r="Z120" i="4"/>
  <c r="Z97" i="4"/>
  <c r="Z11" i="4" s="1"/>
  <c r="N479" i="1"/>
  <c r="N426" i="1"/>
  <c r="N370" i="1"/>
  <c r="X38" i="1"/>
  <c r="V39" i="1"/>
  <c r="V29" i="1" s="1"/>
  <c r="AA50" i="1"/>
  <c r="Y51" i="1"/>
  <c r="Y41" i="1" s="1"/>
  <c r="K369" i="1"/>
  <c r="K438" i="1" s="1"/>
  <c r="K441" i="1" s="1"/>
  <c r="K367" i="1"/>
  <c r="W230" i="1"/>
  <c r="W227" i="1"/>
  <c r="M367" i="1"/>
  <c r="M369" i="1"/>
  <c r="AC74" i="1"/>
  <c r="AC75" i="1" s="1"/>
  <c r="AC65" i="1" s="1"/>
  <c r="AA75" i="1"/>
  <c r="AA65" i="1" s="1"/>
  <c r="G54" i="3"/>
  <c r="G56" i="3" s="1"/>
  <c r="H46" i="3"/>
  <c r="N351" i="1"/>
  <c r="N326" i="1"/>
  <c r="N11" i="1" s="1"/>
  <c r="K121" i="4"/>
  <c r="K136" i="4"/>
  <c r="Y242" i="1"/>
  <c r="Y239" i="1"/>
  <c r="Q480" i="1"/>
  <c r="Q483" i="1" s="1"/>
  <c r="Q325" i="1"/>
  <c r="U244" i="1"/>
  <c r="AD120" i="4"/>
  <c r="AD97" i="4"/>
  <c r="AD11" i="4" s="1"/>
  <c r="M442" i="1"/>
  <c r="M372" i="1"/>
  <c r="AE120" i="4"/>
  <c r="AE97" i="4"/>
  <c r="AE11" i="4" s="1"/>
  <c r="P342" i="4"/>
  <c r="P96" i="4"/>
  <c r="G346" i="4"/>
  <c r="AN139" i="4"/>
  <c r="Q121" i="4"/>
  <c r="Q136" i="4"/>
  <c r="AF97" i="4"/>
  <c r="AF11" i="4" s="1"/>
  <c r="AF120" i="4"/>
  <c r="X27" i="1"/>
  <c r="Z26" i="1"/>
  <c r="AL120" i="4"/>
  <c r="AL97" i="4"/>
  <c r="AL11" i="4" s="1"/>
  <c r="AB342" i="4"/>
  <c r="AB96" i="4"/>
  <c r="L427" i="1"/>
  <c r="L413" i="1" s="1"/>
  <c r="M425" i="1"/>
  <c r="M427" i="1" s="1"/>
  <c r="M413" i="1" s="1"/>
  <c r="L454" i="1"/>
  <c r="L412" i="1"/>
  <c r="AB62" i="1"/>
  <c r="Z63" i="1"/>
  <c r="Z53" i="1" s="1"/>
  <c r="H269" i="4"/>
  <c r="I261" i="4"/>
  <c r="T238" i="1"/>
  <c r="L487" i="1"/>
  <c r="L482" i="1"/>
  <c r="L485" i="1" s="1"/>
  <c r="L488" i="1"/>
  <c r="I31" i="3"/>
  <c r="I35" i="3" s="1"/>
  <c r="H39" i="3"/>
  <c r="X236" i="1"/>
  <c r="X233" i="1"/>
  <c r="D394" i="4"/>
  <c r="I160" i="4"/>
  <c r="I140" i="4"/>
  <c r="S120" i="4"/>
  <c r="S97" i="4"/>
  <c r="S11" i="4" s="1"/>
  <c r="O162" i="4"/>
  <c r="O166" i="4"/>
  <c r="O167" i="4" s="1"/>
  <c r="V230" i="1"/>
  <c r="V227" i="1"/>
  <c r="AI97" i="4"/>
  <c r="AI11" i="4" s="1"/>
  <c r="AI120" i="4"/>
  <c r="P334" i="1"/>
  <c r="P333" i="1" s="1"/>
  <c r="P10" i="1"/>
  <c r="T97" i="4"/>
  <c r="T11" i="4" s="1"/>
  <c r="T120" i="4"/>
  <c r="X183" i="4"/>
  <c r="X184" i="4" s="1"/>
  <c r="X185" i="4" s="1"/>
  <c r="Y181" i="4" s="1"/>
  <c r="F375" i="1"/>
  <c r="F12" i="1"/>
  <c r="N162" i="4"/>
  <c r="Y66" i="4"/>
  <c r="Y100" i="4"/>
  <c r="Y101" i="4" s="1"/>
  <c r="F383" i="4"/>
  <c r="F381" i="4" s="1"/>
  <c r="F379" i="4" s="1"/>
  <c r="J442" i="1"/>
  <c r="J372" i="1"/>
  <c r="Y87" i="1"/>
  <c r="Y77" i="1" s="1"/>
  <c r="AA86" i="1"/>
  <c r="X51" i="1"/>
  <c r="X41" i="1" s="1"/>
  <c r="Z50" i="1"/>
  <c r="J369" i="1"/>
  <c r="J367" i="1"/>
  <c r="V87" i="1"/>
  <c r="V77" i="1" s="1"/>
  <c r="X86" i="1"/>
  <c r="W66" i="4"/>
  <c r="W100" i="4"/>
  <c r="W101" i="4" s="1"/>
  <c r="W248" i="1"/>
  <c r="W245" i="1"/>
  <c r="O351" i="1"/>
  <c r="O326" i="1"/>
  <c r="O11" i="1" s="1"/>
  <c r="X66" i="4"/>
  <c r="X100" i="4"/>
  <c r="X101" i="4" s="1"/>
  <c r="V232" i="1"/>
  <c r="AJ96" i="4"/>
  <c r="T248" i="1"/>
  <c r="T245" i="1"/>
  <c r="I136" i="4"/>
  <c r="I121" i="4"/>
  <c r="AH97" i="4"/>
  <c r="AH11" i="4" s="1"/>
  <c r="AH120" i="4"/>
  <c r="J137" i="4"/>
  <c r="O136" i="4"/>
  <c r="O121" i="4"/>
  <c r="AC136" i="4"/>
  <c r="AC121" i="4"/>
  <c r="H271" i="4"/>
  <c r="H259" i="4"/>
  <c r="N121" i="4"/>
  <c r="N136" i="4"/>
  <c r="H136" i="4"/>
  <c r="H121" i="4"/>
  <c r="G342" i="4"/>
  <c r="G340" i="4" s="1"/>
  <c r="AN66" i="4"/>
  <c r="M137" i="4"/>
  <c r="G314" i="4"/>
  <c r="H306" i="4"/>
  <c r="L121" i="4"/>
  <c r="L136" i="4"/>
  <c r="G322" i="4"/>
  <c r="AN10" i="4"/>
  <c r="C2" i="4"/>
  <c r="E2" i="4" s="1"/>
  <c r="F2" i="4" s="1"/>
  <c r="O372" i="1"/>
  <c r="O442" i="1"/>
  <c r="H24" i="3"/>
  <c r="I16" i="3"/>
  <c r="AK120" i="4"/>
  <c r="AK97" i="4"/>
  <c r="AK11" i="4" s="1"/>
  <c r="H285" i="4"/>
  <c r="H279" i="4"/>
  <c r="Z74" i="1"/>
  <c r="X75" i="1"/>
  <c r="X65" i="1" s="1"/>
  <c r="AA120" i="4"/>
  <c r="AA97" i="4"/>
  <c r="AA11" i="4" s="1"/>
  <c r="V242" i="1"/>
  <c r="V239" i="1"/>
  <c r="V238" i="1" s="1"/>
  <c r="G96" i="4"/>
  <c r="R15" i="1"/>
  <c r="F299" i="4"/>
  <c r="G291" i="4"/>
  <c r="T221" i="1"/>
  <c r="T220" i="1" s="1"/>
  <c r="T16" i="1"/>
  <c r="AM120" i="4"/>
  <c r="AM97" i="4"/>
  <c r="AM11" i="4" s="1"/>
  <c r="L352" i="1"/>
  <c r="L366" i="1"/>
  <c r="U96" i="4"/>
  <c r="H275" i="4"/>
  <c r="G274" i="4"/>
  <c r="V226" i="1" l="1"/>
  <c r="D452" i="1"/>
  <c r="D450" i="1" s="1"/>
  <c r="D13" i="1"/>
  <c r="E437" i="1"/>
  <c r="E443" i="1" s="1"/>
  <c r="F437" i="1" s="1"/>
  <c r="F443" i="1" s="1"/>
  <c r="T244" i="1"/>
  <c r="T213" i="1" s="1"/>
  <c r="T212" i="1" s="1"/>
  <c r="R327" i="1"/>
  <c r="R328" i="1" s="1"/>
  <c r="U232" i="1"/>
  <c r="U213" i="1" s="1"/>
  <c r="R425" i="1"/>
  <c r="Q488" i="1"/>
  <c r="Q372" i="1" s="1"/>
  <c r="Y63" i="1"/>
  <c r="Y53" i="1" s="1"/>
  <c r="AA62" i="1"/>
  <c r="X232" i="1"/>
  <c r="W233" i="1"/>
  <c r="W236" i="1"/>
  <c r="Q454" i="1"/>
  <c r="Q487" i="1"/>
  <c r="U10" i="1"/>
  <c r="U479" i="1" s="1"/>
  <c r="S426" i="1"/>
  <c r="S454" i="1" s="1"/>
  <c r="S327" i="1"/>
  <c r="S328" i="1" s="1"/>
  <c r="S370" i="1"/>
  <c r="D377" i="1"/>
  <c r="D460" i="1" s="1"/>
  <c r="D458" i="1" s="1"/>
  <c r="D456" i="1" s="1"/>
  <c r="W16" i="1"/>
  <c r="W15" i="1" s="1"/>
  <c r="AA38" i="1"/>
  <c r="Y39" i="1"/>
  <c r="Y29" i="1" s="1"/>
  <c r="K374" i="1"/>
  <c r="K375" i="1" s="1"/>
  <c r="D12" i="1"/>
  <c r="Q485" i="1"/>
  <c r="Y26" i="1"/>
  <c r="W27" i="1"/>
  <c r="J374" i="1"/>
  <c r="J12" i="1" s="1"/>
  <c r="J438" i="1"/>
  <c r="J441" i="1" s="1"/>
  <c r="M374" i="1"/>
  <c r="M375" i="1" s="1"/>
  <c r="Y189" i="4"/>
  <c r="Y190" i="4" s="1"/>
  <c r="Y191" i="4" s="1"/>
  <c r="Z187" i="4" s="1"/>
  <c r="Y183" i="4"/>
  <c r="Y184" i="4" s="1"/>
  <c r="Y185" i="4" s="1"/>
  <c r="Z181" i="4" s="1"/>
  <c r="G367" i="4"/>
  <c r="G363" i="4"/>
  <c r="W244" i="1"/>
  <c r="AD62" i="1"/>
  <c r="AD63" i="1" s="1"/>
  <c r="AD53" i="1" s="1"/>
  <c r="AB63" i="1"/>
  <c r="AB53" i="1" s="1"/>
  <c r="Z27" i="1"/>
  <c r="AB26" i="1"/>
  <c r="P97" i="4"/>
  <c r="P11" i="4" s="1"/>
  <c r="P120" i="4"/>
  <c r="Y238" i="1"/>
  <c r="AA239" i="1"/>
  <c r="AA242" i="1"/>
  <c r="N487" i="1"/>
  <c r="N488" i="1"/>
  <c r="N482" i="1"/>
  <c r="N485" i="1" s="1"/>
  <c r="S121" i="4"/>
  <c r="S136" i="4"/>
  <c r="I15" i="3"/>
  <c r="H26" i="3"/>
  <c r="Z121" i="4"/>
  <c r="Z136" i="4"/>
  <c r="I359" i="4"/>
  <c r="I358" i="4" s="1"/>
  <c r="I156" i="4"/>
  <c r="I161" i="4"/>
  <c r="I148" i="4"/>
  <c r="AE136" i="4"/>
  <c r="AE121" i="4"/>
  <c r="R97" i="4"/>
  <c r="R11" i="4" s="1"/>
  <c r="R120" i="4"/>
  <c r="I25" i="3"/>
  <c r="I20" i="3"/>
  <c r="I19" i="3" s="1"/>
  <c r="AA136" i="4"/>
  <c r="AA121" i="4"/>
  <c r="Z51" i="1"/>
  <c r="Z41" i="1" s="1"/>
  <c r="AB50" i="1"/>
  <c r="AB74" i="1"/>
  <c r="Z75" i="1"/>
  <c r="Z65" i="1" s="1"/>
  <c r="O137" i="4"/>
  <c r="M438" i="1"/>
  <c r="M441" i="1" s="1"/>
  <c r="S480" i="1"/>
  <c r="S483" i="1" s="1"/>
  <c r="S325" i="1"/>
  <c r="AC239" i="1"/>
  <c r="AC242" i="1"/>
  <c r="AC137" i="4"/>
  <c r="AF136" i="4"/>
  <c r="AF121" i="4"/>
  <c r="AM136" i="4"/>
  <c r="AM121" i="4"/>
  <c r="X242" i="1"/>
  <c r="X239" i="1"/>
  <c r="X238" i="1" s="1"/>
  <c r="X227" i="1"/>
  <c r="X230" i="1"/>
  <c r="AI121" i="4"/>
  <c r="AI136" i="4"/>
  <c r="S488" i="1"/>
  <c r="S482" i="1"/>
  <c r="S487" i="1"/>
  <c r="Q137" i="4"/>
  <c r="Y227" i="1"/>
  <c r="Y230" i="1"/>
  <c r="H137" i="4"/>
  <c r="H143" i="4"/>
  <c r="AJ120" i="4"/>
  <c r="AJ97" i="4"/>
  <c r="AJ11" i="4" s="1"/>
  <c r="Y342" i="4"/>
  <c r="Y96" i="4"/>
  <c r="AA51" i="1"/>
  <c r="AA41" i="1" s="1"/>
  <c r="AC50" i="1"/>
  <c r="AC51" i="1" s="1"/>
  <c r="AC41" i="1" s="1"/>
  <c r="V97" i="4"/>
  <c r="V11" i="4" s="1"/>
  <c r="V120" i="4"/>
  <c r="AA87" i="1"/>
  <c r="AA77" i="1" s="1"/>
  <c r="AC86" i="1"/>
  <c r="AC87" i="1" s="1"/>
  <c r="AC77" i="1" s="1"/>
  <c r="I270" i="4"/>
  <c r="I265" i="4"/>
  <c r="I264" i="4" s="1"/>
  <c r="AB120" i="4"/>
  <c r="AB97" i="4"/>
  <c r="AB11" i="4" s="1"/>
  <c r="K137" i="4"/>
  <c r="T121" i="4"/>
  <c r="T136" i="4"/>
  <c r="N427" i="1"/>
  <c r="N413" i="1" s="1"/>
  <c r="N454" i="1"/>
  <c r="O425" i="1"/>
  <c r="O427" i="1" s="1"/>
  <c r="O413" i="1" s="1"/>
  <c r="N412" i="1"/>
  <c r="L369" i="1"/>
  <c r="L438" i="1" s="1"/>
  <c r="L441" i="1" s="1"/>
  <c r="L367" i="1"/>
  <c r="P351" i="1"/>
  <c r="P326" i="1"/>
  <c r="P11" i="1" s="1"/>
  <c r="F376" i="4"/>
  <c r="F373" i="4" s="1"/>
  <c r="F371" i="4" s="1"/>
  <c r="F289" i="4"/>
  <c r="F301" i="4"/>
  <c r="L137" i="4"/>
  <c r="N137" i="4"/>
  <c r="Y248" i="1"/>
  <c r="Y245" i="1"/>
  <c r="I260" i="4"/>
  <c r="AD136" i="4"/>
  <c r="AD121" i="4"/>
  <c r="W226" i="1"/>
  <c r="V221" i="1"/>
  <c r="V220" i="1" s="1"/>
  <c r="V16" i="1"/>
  <c r="AG97" i="4"/>
  <c r="AG11" i="4" s="1"/>
  <c r="AG120" i="4"/>
  <c r="U97" i="4"/>
  <c r="U11" i="4" s="1"/>
  <c r="U120" i="4"/>
  <c r="Z236" i="1"/>
  <c r="Z233" i="1"/>
  <c r="R325" i="1"/>
  <c r="R334" i="1"/>
  <c r="R333" i="1" s="1"/>
  <c r="R480" i="1" s="1"/>
  <c r="R483" i="1" s="1"/>
  <c r="R10" i="1"/>
  <c r="I30" i="3"/>
  <c r="H41" i="3"/>
  <c r="Z38" i="1"/>
  <c r="X39" i="1"/>
  <c r="X29" i="1" s="1"/>
  <c r="O177" i="4"/>
  <c r="O178" i="4" s="1"/>
  <c r="O179" i="4" s="1"/>
  <c r="P175" i="4" s="1"/>
  <c r="O352" i="1"/>
  <c r="O366" i="1"/>
  <c r="AL121" i="4"/>
  <c r="AL136" i="4"/>
  <c r="P479" i="1"/>
  <c r="P426" i="1"/>
  <c r="P370" i="1"/>
  <c r="C2" i="1"/>
  <c r="F2" i="1" s="1"/>
  <c r="G2" i="1" s="1"/>
  <c r="W342" i="4"/>
  <c r="W96" i="4"/>
  <c r="T15" i="1"/>
  <c r="G295" i="4"/>
  <c r="G290" i="4"/>
  <c r="I276" i="4"/>
  <c r="I280" i="4" s="1"/>
  <c r="H284" i="4"/>
  <c r="I275" i="4" s="1"/>
  <c r="G323" i="4"/>
  <c r="H321" i="4"/>
  <c r="H323" i="4" s="1"/>
  <c r="X87" i="1"/>
  <c r="X77" i="1" s="1"/>
  <c r="Z86" i="1"/>
  <c r="H305" i="4"/>
  <c r="H310" i="4"/>
  <c r="X342" i="4"/>
  <c r="X96" i="4"/>
  <c r="V245" i="1"/>
  <c r="V248" i="1"/>
  <c r="I34" i="3"/>
  <c r="I40" i="3"/>
  <c r="Q326" i="1"/>
  <c r="Q11" i="1" s="1"/>
  <c r="Q351" i="1"/>
  <c r="N366" i="1"/>
  <c r="N352" i="1"/>
  <c r="I137" i="4"/>
  <c r="I143" i="4"/>
  <c r="I347" i="4"/>
  <c r="I340" i="4" s="1"/>
  <c r="H286" i="4"/>
  <c r="H274" i="4"/>
  <c r="G120" i="4"/>
  <c r="G97" i="4"/>
  <c r="G11" i="4" s="1"/>
  <c r="AN96" i="4"/>
  <c r="AN97" i="4" s="1"/>
  <c r="AK136" i="4"/>
  <c r="AK121" i="4"/>
  <c r="G304" i="4"/>
  <c r="G316" i="4"/>
  <c r="AH121" i="4"/>
  <c r="AH136" i="4"/>
  <c r="P165" i="4"/>
  <c r="P163" i="4"/>
  <c r="L442" i="1"/>
  <c r="L372" i="1"/>
  <c r="H50" i="3"/>
  <c r="H45" i="3"/>
  <c r="P480" i="1"/>
  <c r="P483" i="1" s="1"/>
  <c r="Y244" i="1" l="1"/>
  <c r="E452" i="1"/>
  <c r="E450" i="1" s="1"/>
  <c r="D448" i="1"/>
  <c r="E13" i="1"/>
  <c r="Q442" i="1"/>
  <c r="AA238" i="1"/>
  <c r="U212" i="1"/>
  <c r="U480" i="1" s="1"/>
  <c r="U483" i="1" s="1"/>
  <c r="U327" i="1"/>
  <c r="U328" i="1" s="1"/>
  <c r="U426" i="1"/>
  <c r="U412" i="1" s="1"/>
  <c r="U370" i="1"/>
  <c r="Z232" i="1"/>
  <c r="W232" i="1"/>
  <c r="W213" i="1" s="1"/>
  <c r="W212" i="1" s="1"/>
  <c r="W325" i="1" s="1"/>
  <c r="AC62" i="1"/>
  <c r="AC63" i="1" s="1"/>
  <c r="AC53" i="1" s="1"/>
  <c r="AA63" i="1"/>
  <c r="AA53" i="1" s="1"/>
  <c r="Y236" i="1"/>
  <c r="Y233" i="1"/>
  <c r="Y232" i="1" s="1"/>
  <c r="S412" i="1"/>
  <c r="T425" i="1"/>
  <c r="J375" i="1"/>
  <c r="X226" i="1"/>
  <c r="Y226" i="1"/>
  <c r="S485" i="1"/>
  <c r="E377" i="1"/>
  <c r="E460" i="1" s="1"/>
  <c r="E458" i="1" s="1"/>
  <c r="M12" i="1"/>
  <c r="Y16" i="1"/>
  <c r="Y15" i="1" s="1"/>
  <c r="Y334" i="1" s="1"/>
  <c r="Y333" i="1" s="1"/>
  <c r="Y221" i="1"/>
  <c r="Y220" i="1" s="1"/>
  <c r="AA39" i="1"/>
  <c r="AA29" i="1" s="1"/>
  <c r="AA221" i="1" s="1"/>
  <c r="AA220" i="1" s="1"/>
  <c r="AC38" i="1"/>
  <c r="AC39" i="1" s="1"/>
  <c r="AC29" i="1" s="1"/>
  <c r="AC221" i="1" s="1"/>
  <c r="AC220" i="1" s="1"/>
  <c r="K12" i="1"/>
  <c r="T327" i="1"/>
  <c r="T328" i="1" s="1"/>
  <c r="L374" i="1"/>
  <c r="L375" i="1" s="1"/>
  <c r="Y27" i="1"/>
  <c r="AA26" i="1"/>
  <c r="Z183" i="4"/>
  <c r="Z184" i="4" s="1"/>
  <c r="Z185" i="4"/>
  <c r="AA181" i="4" s="1"/>
  <c r="Z189" i="4"/>
  <c r="Z190" i="4" s="1"/>
  <c r="Z191" i="4"/>
  <c r="AA187" i="4" s="1"/>
  <c r="P177" i="4"/>
  <c r="P178" i="4" s="1"/>
  <c r="P179" i="4" s="1"/>
  <c r="Q175" i="4" s="1"/>
  <c r="W334" i="1"/>
  <c r="W333" i="1" s="1"/>
  <c r="W10" i="1"/>
  <c r="H309" i="4"/>
  <c r="H314" i="4" s="1"/>
  <c r="I305" i="4" s="1"/>
  <c r="H315" i="4"/>
  <c r="I306" i="4" s="1"/>
  <c r="I310" i="4" s="1"/>
  <c r="AL137" i="4"/>
  <c r="R351" i="1"/>
  <c r="R326" i="1"/>
  <c r="R11" i="1" s="1"/>
  <c r="T137" i="4"/>
  <c r="AC227" i="1"/>
  <c r="AC230" i="1"/>
  <c r="Z137" i="4"/>
  <c r="AA227" i="1"/>
  <c r="AA230" i="1"/>
  <c r="AM137" i="4"/>
  <c r="H339" i="4"/>
  <c r="G375" i="4"/>
  <c r="G13" i="4"/>
  <c r="Z242" i="1"/>
  <c r="Z239" i="1"/>
  <c r="AE137" i="4"/>
  <c r="P366" i="1"/>
  <c r="P352" i="1"/>
  <c r="AF137" i="4"/>
  <c r="AB75" i="1"/>
  <c r="AB65" i="1" s="1"/>
  <c r="AD74" i="1"/>
  <c r="AD75" i="1" s="1"/>
  <c r="AD65" i="1" s="1"/>
  <c r="P136" i="4"/>
  <c r="P121" i="4"/>
  <c r="AD50" i="1"/>
  <c r="AD51" i="1" s="1"/>
  <c r="AD41" i="1" s="1"/>
  <c r="AB51" i="1"/>
  <c r="AB41" i="1" s="1"/>
  <c r="J159" i="4"/>
  <c r="I387" i="4"/>
  <c r="I386" i="4" s="1"/>
  <c r="H316" i="4"/>
  <c r="H304" i="4"/>
  <c r="I144" i="4"/>
  <c r="I12" i="4"/>
  <c r="Z87" i="1"/>
  <c r="Z77" i="1" s="1"/>
  <c r="AB86" i="1"/>
  <c r="W97" i="4"/>
  <c r="W11" i="4" s="1"/>
  <c r="W120" i="4"/>
  <c r="Y120" i="4"/>
  <c r="Y97" i="4"/>
  <c r="Y11" i="4" s="1"/>
  <c r="X248" i="1"/>
  <c r="X245" i="1"/>
  <c r="AG121" i="4"/>
  <c r="AG136" i="4"/>
  <c r="S442" i="1"/>
  <c r="S372" i="1"/>
  <c r="Z227" i="1"/>
  <c r="Z230" i="1"/>
  <c r="F452" i="1"/>
  <c r="F450" i="1" s="1"/>
  <c r="G437" i="1"/>
  <c r="G443" i="1" s="1"/>
  <c r="F13" i="1"/>
  <c r="AB27" i="1"/>
  <c r="AD26" i="1"/>
  <c r="AD27" i="1" s="1"/>
  <c r="AB136" i="4"/>
  <c r="AB121" i="4"/>
  <c r="H55" i="3"/>
  <c r="H12" i="3"/>
  <c r="H49" i="3"/>
  <c r="H11" i="3" s="1"/>
  <c r="N367" i="1"/>
  <c r="N369" i="1"/>
  <c r="X221" i="1"/>
  <c r="X220" i="1" s="1"/>
  <c r="X16" i="1"/>
  <c r="AI137" i="4"/>
  <c r="U121" i="4"/>
  <c r="U136" i="4"/>
  <c r="AK137" i="4"/>
  <c r="Q366" i="1"/>
  <c r="Q352" i="1"/>
  <c r="V244" i="1"/>
  <c r="V213" i="1" s="1"/>
  <c r="V212" i="1" s="1"/>
  <c r="Z39" i="1"/>
  <c r="Z29" i="1" s="1"/>
  <c r="AB38" i="1"/>
  <c r="V15" i="1"/>
  <c r="I269" i="4"/>
  <c r="J261" i="4"/>
  <c r="AJ121" i="4"/>
  <c r="AJ136" i="4"/>
  <c r="AC238" i="1"/>
  <c r="AA137" i="4"/>
  <c r="S137" i="4"/>
  <c r="AB236" i="1"/>
  <c r="AB233" i="1"/>
  <c r="G136" i="4"/>
  <c r="G121" i="4"/>
  <c r="AN120" i="4"/>
  <c r="X120" i="4"/>
  <c r="X97" i="4"/>
  <c r="X11" i="4" s="1"/>
  <c r="P454" i="1"/>
  <c r="Q425" i="1"/>
  <c r="Q427" i="1" s="1"/>
  <c r="Q413" i="1" s="1"/>
  <c r="P427" i="1"/>
  <c r="P413" i="1" s="1"/>
  <c r="P412" i="1"/>
  <c r="AC245" i="1"/>
  <c r="AC248" i="1"/>
  <c r="H144" i="4"/>
  <c r="H12" i="4"/>
  <c r="S351" i="1"/>
  <c r="S326" i="1"/>
  <c r="S11" i="1" s="1"/>
  <c r="AD236" i="1"/>
  <c r="AD233" i="1"/>
  <c r="G300" i="4"/>
  <c r="G294" i="4"/>
  <c r="G255" i="4" s="1"/>
  <c r="G256" i="4"/>
  <c r="T334" i="1"/>
  <c r="T333" i="1" s="1"/>
  <c r="T480" i="1" s="1"/>
  <c r="T483" i="1" s="1"/>
  <c r="T325" i="1"/>
  <c r="T10" i="1"/>
  <c r="O367" i="1"/>
  <c r="O369" i="1"/>
  <c r="O374" i="1" s="1"/>
  <c r="U488" i="1"/>
  <c r="U482" i="1"/>
  <c r="U487" i="1"/>
  <c r="I41" i="3"/>
  <c r="J31" i="3"/>
  <c r="J35" i="3" s="1"/>
  <c r="I39" i="3"/>
  <c r="J30" i="3" s="1"/>
  <c r="AA245" i="1"/>
  <c r="AA248" i="1"/>
  <c r="R479" i="1"/>
  <c r="R426" i="1"/>
  <c r="R370" i="1"/>
  <c r="V136" i="4"/>
  <c r="V121" i="4"/>
  <c r="I24" i="3"/>
  <c r="J15" i="3" s="1"/>
  <c r="J16" i="3"/>
  <c r="N442" i="1"/>
  <c r="N372" i="1"/>
  <c r="P488" i="1"/>
  <c r="P482" i="1"/>
  <c r="P485" i="1" s="1"/>
  <c r="P487" i="1"/>
  <c r="P166" i="4"/>
  <c r="P162" i="4" s="1"/>
  <c r="AH137" i="4"/>
  <c r="I279" i="4"/>
  <c r="I285" i="4"/>
  <c r="AD137" i="4"/>
  <c r="R121" i="4"/>
  <c r="R136" i="4"/>
  <c r="AB232" i="1" l="1"/>
  <c r="E468" i="1"/>
  <c r="E469" i="1"/>
  <c r="W480" i="1"/>
  <c r="W483" i="1" s="1"/>
  <c r="X244" i="1"/>
  <c r="X213" i="1" s="1"/>
  <c r="AA244" i="1"/>
  <c r="V425" i="1"/>
  <c r="U454" i="1"/>
  <c r="U325" i="1"/>
  <c r="U351" i="1" s="1"/>
  <c r="Z238" i="1"/>
  <c r="AD232" i="1"/>
  <c r="AA236" i="1"/>
  <c r="AA233" i="1"/>
  <c r="W327" i="1"/>
  <c r="W328" i="1" s="1"/>
  <c r="AC236" i="1"/>
  <c r="AC233" i="1"/>
  <c r="Y213" i="1"/>
  <c r="Y212" i="1" s="1"/>
  <c r="Y480" i="1" s="1"/>
  <c r="Y483" i="1" s="1"/>
  <c r="AC16" i="1"/>
  <c r="AC15" i="1" s="1"/>
  <c r="AC226" i="1"/>
  <c r="Y10" i="1"/>
  <c r="Y479" i="1" s="1"/>
  <c r="L12" i="1"/>
  <c r="U485" i="1"/>
  <c r="F377" i="1"/>
  <c r="F460" i="1" s="1"/>
  <c r="F458" i="1" s="1"/>
  <c r="F456" i="1" s="1"/>
  <c r="F448" i="1" s="1"/>
  <c r="V327" i="1"/>
  <c r="V328" i="1" s="1"/>
  <c r="AA16" i="1"/>
  <c r="AA15" i="1" s="1"/>
  <c r="AA10" i="1" s="1"/>
  <c r="N374" i="1"/>
  <c r="N375" i="1" s="1"/>
  <c r="AC26" i="1"/>
  <c r="AC27" i="1" s="1"/>
  <c r="AA27" i="1"/>
  <c r="O438" i="1"/>
  <c r="O441" i="1" s="1"/>
  <c r="Q177" i="4"/>
  <c r="Q178" i="4" s="1"/>
  <c r="Q179" i="4" s="1"/>
  <c r="R175" i="4" s="1"/>
  <c r="O375" i="1"/>
  <c r="O12" i="1"/>
  <c r="AB239" i="1"/>
  <c r="AB242" i="1"/>
  <c r="W351" i="1"/>
  <c r="W326" i="1"/>
  <c r="W11" i="1" s="1"/>
  <c r="G299" i="4"/>
  <c r="H291" i="4"/>
  <c r="Q367" i="1"/>
  <c r="Q369" i="1"/>
  <c r="Q374" i="1" s="1"/>
  <c r="X15" i="1"/>
  <c r="AG137" i="4"/>
  <c r="H367" i="4"/>
  <c r="H363" i="4"/>
  <c r="P167" i="4"/>
  <c r="R366" i="1"/>
  <c r="R352" i="1"/>
  <c r="AJ137" i="4"/>
  <c r="X121" i="4"/>
  <c r="X136" i="4"/>
  <c r="N438" i="1"/>
  <c r="N441" i="1" s="1"/>
  <c r="E456" i="1"/>
  <c r="E471" i="1" s="1"/>
  <c r="E470" i="1"/>
  <c r="J25" i="3"/>
  <c r="J20" i="3"/>
  <c r="J19" i="3" s="1"/>
  <c r="U372" i="1"/>
  <c r="U442" i="1"/>
  <c r="V137" i="4"/>
  <c r="S352" i="1"/>
  <c r="S366" i="1"/>
  <c r="AN136" i="4"/>
  <c r="AN137" i="4" s="1"/>
  <c r="AN121" i="4"/>
  <c r="J265" i="4"/>
  <c r="J264" i="4" s="1"/>
  <c r="J270" i="4"/>
  <c r="J160" i="4"/>
  <c r="J140" i="4"/>
  <c r="AA226" i="1"/>
  <c r="J260" i="4"/>
  <c r="U137" i="4"/>
  <c r="H437" i="1"/>
  <c r="H443" i="1" s="1"/>
  <c r="G452" i="1"/>
  <c r="G450" i="1" s="1"/>
  <c r="G13" i="1"/>
  <c r="AB227" i="1"/>
  <c r="AB230" i="1"/>
  <c r="P369" i="1"/>
  <c r="P438" i="1" s="1"/>
  <c r="P441" i="1" s="1"/>
  <c r="P367" i="1"/>
  <c r="I259" i="4"/>
  <c r="AA189" i="4"/>
  <c r="AA190" i="4" s="1"/>
  <c r="AA191" i="4"/>
  <c r="AB187" i="4" s="1"/>
  <c r="R137" i="4"/>
  <c r="G143" i="4"/>
  <c r="G137" i="4"/>
  <c r="V334" i="1"/>
  <c r="V333" i="1" s="1"/>
  <c r="V480" i="1" s="1"/>
  <c r="V483" i="1" s="1"/>
  <c r="V325" i="1"/>
  <c r="V10" i="1"/>
  <c r="Y136" i="4"/>
  <c r="Y121" i="4"/>
  <c r="AD230" i="1"/>
  <c r="AD227" i="1"/>
  <c r="I271" i="4"/>
  <c r="R454" i="1"/>
  <c r="S425" i="1"/>
  <c r="S427" i="1" s="1"/>
  <c r="S413" i="1" s="1"/>
  <c r="R427" i="1"/>
  <c r="R413" i="1" s="1"/>
  <c r="R412" i="1"/>
  <c r="T479" i="1"/>
  <c r="T370" i="1"/>
  <c r="T426" i="1"/>
  <c r="W121" i="4"/>
  <c r="W136" i="4"/>
  <c r="I309" i="4"/>
  <c r="I315" i="4"/>
  <c r="AA183" i="4"/>
  <c r="AA184" i="4" s="1"/>
  <c r="AA185" i="4" s="1"/>
  <c r="AB181" i="4" s="1"/>
  <c r="P442" i="1"/>
  <c r="P372" i="1"/>
  <c r="R488" i="1"/>
  <c r="R482" i="1"/>
  <c r="R485" i="1" s="1"/>
  <c r="R487" i="1"/>
  <c r="T326" i="1"/>
  <c r="T11" i="1" s="1"/>
  <c r="T351" i="1"/>
  <c r="AC244" i="1"/>
  <c r="AB39" i="1"/>
  <c r="AB29" i="1" s="1"/>
  <c r="AD38" i="1"/>
  <c r="AD39" i="1" s="1"/>
  <c r="AD29" i="1" s="1"/>
  <c r="H54" i="3"/>
  <c r="H56" i="3" s="1"/>
  <c r="I46" i="3"/>
  <c r="Z226" i="1"/>
  <c r="P137" i="4"/>
  <c r="J34" i="3"/>
  <c r="J40" i="3"/>
  <c r="Z221" i="1"/>
  <c r="Z220" i="1" s="1"/>
  <c r="Z16" i="1"/>
  <c r="AB87" i="1"/>
  <c r="AB77" i="1" s="1"/>
  <c r="AD86" i="1"/>
  <c r="AD87" i="1" s="1"/>
  <c r="AD77" i="1" s="1"/>
  <c r="I26" i="3"/>
  <c r="W479" i="1"/>
  <c r="W370" i="1"/>
  <c r="W426" i="1"/>
  <c r="J276" i="4"/>
  <c r="J280" i="4" s="1"/>
  <c r="I284" i="4"/>
  <c r="AB137" i="4"/>
  <c r="Z245" i="1"/>
  <c r="Z248" i="1"/>
  <c r="AD242" i="1"/>
  <c r="AD239" i="1"/>
  <c r="AC232" i="1" l="1"/>
  <c r="AC213" i="1" s="1"/>
  <c r="AC327" i="1" s="1"/>
  <c r="AC328" i="1" s="1"/>
  <c r="AD226" i="1"/>
  <c r="X212" i="1"/>
  <c r="X325" i="1" s="1"/>
  <c r="X327" i="1"/>
  <c r="X328" i="1" s="1"/>
  <c r="AD238" i="1"/>
  <c r="Z244" i="1"/>
  <c r="Z213" i="1" s="1"/>
  <c r="Z212" i="1" s="1"/>
  <c r="U326" i="1"/>
  <c r="U11" i="1" s="1"/>
  <c r="Y325" i="1"/>
  <c r="Y326" i="1" s="1"/>
  <c r="Y11" i="1" s="1"/>
  <c r="AB238" i="1"/>
  <c r="AA232" i="1"/>
  <c r="AA213" i="1" s="1"/>
  <c r="Y327" i="1"/>
  <c r="Y328" i="1" s="1"/>
  <c r="Y370" i="1"/>
  <c r="Y426" i="1"/>
  <c r="Y454" i="1" s="1"/>
  <c r="G377" i="1"/>
  <c r="G460" i="1" s="1"/>
  <c r="G458" i="1" s="1"/>
  <c r="G456" i="1" s="1"/>
  <c r="G448" i="1" s="1"/>
  <c r="AA334" i="1"/>
  <c r="AA333" i="1" s="1"/>
  <c r="P374" i="1"/>
  <c r="P375" i="1" s="1"/>
  <c r="E448" i="1"/>
  <c r="N12" i="1"/>
  <c r="AB185" i="4"/>
  <c r="AC181" i="4" s="1"/>
  <c r="AB183" i="4"/>
  <c r="AB184" i="4" s="1"/>
  <c r="Q375" i="1"/>
  <c r="Q12" i="1"/>
  <c r="R177" i="4"/>
  <c r="R178" i="4" s="1"/>
  <c r="R179" i="4" s="1"/>
  <c r="S175" i="4" s="1"/>
  <c r="J269" i="4"/>
  <c r="K261" i="4"/>
  <c r="W352" i="1"/>
  <c r="W366" i="1"/>
  <c r="AB245" i="1"/>
  <c r="AB248" i="1"/>
  <c r="J359" i="4"/>
  <c r="J358" i="4" s="1"/>
  <c r="J156" i="4"/>
  <c r="J161" i="4"/>
  <c r="J148" i="4"/>
  <c r="G144" i="4"/>
  <c r="G12" i="4"/>
  <c r="G146" i="4"/>
  <c r="U366" i="1"/>
  <c r="U352" i="1"/>
  <c r="I314" i="4"/>
  <c r="J306" i="4"/>
  <c r="J310" i="4" s="1"/>
  <c r="Y487" i="1"/>
  <c r="Y482" i="1"/>
  <c r="Y485" i="1" s="1"/>
  <c r="Y488" i="1"/>
  <c r="X334" i="1"/>
  <c r="X333" i="1" s="1"/>
  <c r="X10" i="1"/>
  <c r="J24" i="3"/>
  <c r="K16" i="3"/>
  <c r="Z15" i="1"/>
  <c r="AB189" i="4"/>
  <c r="AB190" i="4" s="1"/>
  <c r="AB191" i="4" s="1"/>
  <c r="AC187" i="4" s="1"/>
  <c r="I50" i="3"/>
  <c r="I45" i="3"/>
  <c r="J279" i="4"/>
  <c r="J285" i="4"/>
  <c r="AD221" i="1"/>
  <c r="AD220" i="1" s="1"/>
  <c r="AD16" i="1"/>
  <c r="T366" i="1"/>
  <c r="T352" i="1"/>
  <c r="W137" i="4"/>
  <c r="R367" i="1"/>
  <c r="R369" i="1"/>
  <c r="Q438" i="1"/>
  <c r="Q441" i="1" s="1"/>
  <c r="T454" i="1"/>
  <c r="T427" i="1"/>
  <c r="T413" i="1" s="1"/>
  <c r="U425" i="1"/>
  <c r="U427" i="1" s="1"/>
  <c r="U413" i="1" s="1"/>
  <c r="T412" i="1"/>
  <c r="Y137" i="4"/>
  <c r="X137" i="4"/>
  <c r="AA479" i="1"/>
  <c r="AA426" i="1"/>
  <c r="AA370" i="1"/>
  <c r="AB221" i="1"/>
  <c r="AB220" i="1" s="1"/>
  <c r="AB16" i="1"/>
  <c r="S369" i="1"/>
  <c r="S374" i="1" s="1"/>
  <c r="S367" i="1"/>
  <c r="K31" i="3"/>
  <c r="K35" i="3" s="1"/>
  <c r="J39" i="3"/>
  <c r="W488" i="1"/>
  <c r="W482" i="1"/>
  <c r="W485" i="1" s="1"/>
  <c r="W487" i="1"/>
  <c r="Q165" i="4"/>
  <c r="Q163" i="4"/>
  <c r="AB226" i="1"/>
  <c r="J275" i="4"/>
  <c r="I286" i="4"/>
  <c r="I274" i="4"/>
  <c r="T488" i="1"/>
  <c r="T482" i="1"/>
  <c r="T485" i="1" s="1"/>
  <c r="T487" i="1"/>
  <c r="V479" i="1"/>
  <c r="V370" i="1"/>
  <c r="V426" i="1"/>
  <c r="H295" i="4"/>
  <c r="H290" i="4"/>
  <c r="I437" i="1"/>
  <c r="I443" i="1" s="1"/>
  <c r="H452" i="1"/>
  <c r="H450" i="1" s="1"/>
  <c r="H13" i="1"/>
  <c r="W454" i="1"/>
  <c r="X425" i="1"/>
  <c r="W412" i="1"/>
  <c r="J271" i="4"/>
  <c r="J259" i="4"/>
  <c r="AD245" i="1"/>
  <c r="AD248" i="1"/>
  <c r="R442" i="1"/>
  <c r="R372" i="1"/>
  <c r="V351" i="1"/>
  <c r="V326" i="1"/>
  <c r="V11" i="1" s="1"/>
  <c r="J347" i="4"/>
  <c r="J340" i="4" s="1"/>
  <c r="J143" i="4"/>
  <c r="AC334" i="1"/>
  <c r="AC333" i="1" s="1"/>
  <c r="AC10" i="1"/>
  <c r="H375" i="4"/>
  <c r="I339" i="4"/>
  <c r="H13" i="4"/>
  <c r="G376" i="4"/>
  <c r="G373" i="4" s="1"/>
  <c r="G301" i="4"/>
  <c r="G289" i="4"/>
  <c r="AC212" i="1" l="1"/>
  <c r="AC325" i="1" s="1"/>
  <c r="AC351" i="1" s="1"/>
  <c r="X480" i="1"/>
  <c r="X483" i="1" s="1"/>
  <c r="AB244" i="1"/>
  <c r="AB213" i="1" s="1"/>
  <c r="AB212" i="1" s="1"/>
  <c r="H377" i="1"/>
  <c r="H460" i="1" s="1"/>
  <c r="H458" i="1" s="1"/>
  <c r="H456" i="1" s="1"/>
  <c r="H448" i="1" s="1"/>
  <c r="Y351" i="1"/>
  <c r="Y352" i="1" s="1"/>
  <c r="AA327" i="1"/>
  <c r="AA328" i="1" s="1"/>
  <c r="AA212" i="1"/>
  <c r="AA480" i="1" s="1"/>
  <c r="AA483" i="1" s="1"/>
  <c r="Y412" i="1"/>
  <c r="Z425" i="1"/>
  <c r="E472" i="1"/>
  <c r="P12" i="1"/>
  <c r="E473" i="1"/>
  <c r="S438" i="1"/>
  <c r="S441" i="1" s="1"/>
  <c r="R374" i="1"/>
  <c r="R12" i="1" s="1"/>
  <c r="S375" i="1"/>
  <c r="S12" i="1"/>
  <c r="S177" i="4"/>
  <c r="S178" i="4" s="1"/>
  <c r="S179" i="4" s="1"/>
  <c r="T175" i="4" s="1"/>
  <c r="AC189" i="4"/>
  <c r="AC190" i="4" s="1"/>
  <c r="AC191" i="4" s="1"/>
  <c r="AD187" i="4" s="1"/>
  <c r="J286" i="4"/>
  <c r="K25" i="3"/>
  <c r="K20" i="3"/>
  <c r="K19" i="3" s="1"/>
  <c r="K159" i="4"/>
  <c r="J387" i="4"/>
  <c r="J386" i="4" s="1"/>
  <c r="H300" i="4"/>
  <c r="H294" i="4"/>
  <c r="H255" i="4" s="1"/>
  <c r="H256" i="4"/>
  <c r="AB15" i="1"/>
  <c r="T369" i="1"/>
  <c r="T438" i="1" s="1"/>
  <c r="T441" i="1" s="1"/>
  <c r="T367" i="1"/>
  <c r="K15" i="3"/>
  <c r="J26" i="3"/>
  <c r="Q162" i="4"/>
  <c r="Q166" i="4"/>
  <c r="Q167" i="4" s="1"/>
  <c r="X326" i="1"/>
  <c r="X11" i="1" s="1"/>
  <c r="X351" i="1"/>
  <c r="I367" i="4"/>
  <c r="I363" i="4"/>
  <c r="AD15" i="1"/>
  <c r="Y442" i="1"/>
  <c r="Y372" i="1"/>
  <c r="G383" i="4"/>
  <c r="G381" i="4" s="1"/>
  <c r="G379" i="4" s="1"/>
  <c r="H146" i="4"/>
  <c r="W369" i="1"/>
  <c r="W367" i="1"/>
  <c r="X426" i="1"/>
  <c r="X479" i="1"/>
  <c r="X370" i="1"/>
  <c r="AB425" i="1"/>
  <c r="AA454" i="1"/>
  <c r="AA412" i="1"/>
  <c r="AC185" i="4"/>
  <c r="AD181" i="4" s="1"/>
  <c r="AC183" i="4"/>
  <c r="AC184" i="4" s="1"/>
  <c r="V488" i="1"/>
  <c r="V482" i="1"/>
  <c r="V485" i="1" s="1"/>
  <c r="V487" i="1"/>
  <c r="K30" i="3"/>
  <c r="J41" i="3"/>
  <c r="I55" i="3"/>
  <c r="I12" i="3"/>
  <c r="I49" i="3"/>
  <c r="I11" i="3" s="1"/>
  <c r="AD244" i="1"/>
  <c r="AD213" i="1" s="1"/>
  <c r="AD212" i="1" s="1"/>
  <c r="V454" i="1"/>
  <c r="V427" i="1"/>
  <c r="V413" i="1" s="1"/>
  <c r="W425" i="1"/>
  <c r="W427" i="1" s="1"/>
  <c r="W413" i="1" s="1"/>
  <c r="V412" i="1"/>
  <c r="AA487" i="1"/>
  <c r="AA488" i="1"/>
  <c r="AA482" i="1"/>
  <c r="K34" i="3"/>
  <c r="K40" i="3"/>
  <c r="R438" i="1"/>
  <c r="R441" i="1" s="1"/>
  <c r="J309" i="4"/>
  <c r="J315" i="4"/>
  <c r="AC426" i="1"/>
  <c r="AC370" i="1"/>
  <c r="AC479" i="1"/>
  <c r="K276" i="4"/>
  <c r="K280" i="4" s="1"/>
  <c r="J284" i="4"/>
  <c r="K275" i="4" s="1"/>
  <c r="W442" i="1"/>
  <c r="W372" i="1"/>
  <c r="T442" i="1"/>
  <c r="T372" i="1"/>
  <c r="J305" i="4"/>
  <c r="I316" i="4"/>
  <c r="I304" i="4"/>
  <c r="K270" i="4"/>
  <c r="K265" i="4"/>
  <c r="K264" i="4" s="1"/>
  <c r="J144" i="4"/>
  <c r="J12" i="4"/>
  <c r="V366" i="1"/>
  <c r="V352" i="1"/>
  <c r="Z334" i="1"/>
  <c r="Z333" i="1" s="1"/>
  <c r="Z480" i="1" s="1"/>
  <c r="Z483" i="1" s="1"/>
  <c r="Z325" i="1"/>
  <c r="Z10" i="1"/>
  <c r="K260" i="4"/>
  <c r="G371" i="4"/>
  <c r="J437" i="1"/>
  <c r="J443" i="1" s="1"/>
  <c r="I452" i="1"/>
  <c r="I450" i="1" s="1"/>
  <c r="I13" i="1"/>
  <c r="Z327" i="1"/>
  <c r="Z328" i="1" s="1"/>
  <c r="U369" i="1"/>
  <c r="U374" i="1" s="1"/>
  <c r="U367" i="1"/>
  <c r="AC326" i="1" l="1"/>
  <c r="AC11" i="1" s="1"/>
  <c r="AC480" i="1"/>
  <c r="AC483" i="1" s="1"/>
  <c r="I377" i="1"/>
  <c r="I460" i="1" s="1"/>
  <c r="I458" i="1" s="1"/>
  <c r="I456" i="1" s="1"/>
  <c r="I448" i="1" s="1"/>
  <c r="AA325" i="1"/>
  <c r="AA351" i="1" s="1"/>
  <c r="Y366" i="1"/>
  <c r="Y367" i="1" s="1"/>
  <c r="R375" i="1"/>
  <c r="AB327" i="1"/>
  <c r="AB328" i="1" s="1"/>
  <c r="AA485" i="1"/>
  <c r="U438" i="1"/>
  <c r="U441" i="1" s="1"/>
  <c r="W374" i="1"/>
  <c r="W375" i="1" s="1"/>
  <c r="T374" i="1"/>
  <c r="T375" i="1" s="1"/>
  <c r="U375" i="1"/>
  <c r="U12" i="1"/>
  <c r="T177" i="4"/>
  <c r="T178" i="4" s="1"/>
  <c r="T179" i="4" s="1"/>
  <c r="U175" i="4" s="1"/>
  <c r="AD189" i="4"/>
  <c r="AD190" i="4" s="1"/>
  <c r="AD191" i="4" s="1"/>
  <c r="AE187" i="4" s="1"/>
  <c r="R163" i="4"/>
  <c r="R165" i="4"/>
  <c r="W438" i="1"/>
  <c r="W441" i="1" s="1"/>
  <c r="AB334" i="1"/>
  <c r="AB333" i="1" s="1"/>
  <c r="AB480" i="1" s="1"/>
  <c r="AB483" i="1" s="1"/>
  <c r="AB325" i="1"/>
  <c r="AB10" i="1"/>
  <c r="V369" i="1"/>
  <c r="V438" i="1" s="1"/>
  <c r="V441" i="1" s="1"/>
  <c r="V367" i="1"/>
  <c r="AD183" i="4"/>
  <c r="AD184" i="4" s="1"/>
  <c r="AD185" i="4"/>
  <c r="AE181" i="4" s="1"/>
  <c r="K39" i="3"/>
  <c r="L30" i="3" s="1"/>
  <c r="L31" i="3"/>
  <c r="L35" i="3" s="1"/>
  <c r="AC482" i="1"/>
  <c r="AC487" i="1"/>
  <c r="AC488" i="1"/>
  <c r="K269" i="4"/>
  <c r="L261" i="4"/>
  <c r="AA442" i="1"/>
  <c r="AA372" i="1"/>
  <c r="Z479" i="1"/>
  <c r="Z426" i="1"/>
  <c r="Z370" i="1"/>
  <c r="X487" i="1"/>
  <c r="X482" i="1"/>
  <c r="X485" i="1" s="1"/>
  <c r="X488" i="1"/>
  <c r="H299" i="4"/>
  <c r="I291" i="4"/>
  <c r="AD334" i="1"/>
  <c r="AD333" i="1" s="1"/>
  <c r="AD480" i="1" s="1"/>
  <c r="AD483" i="1" s="1"/>
  <c r="AD325" i="1"/>
  <c r="AD10" i="1"/>
  <c r="K41" i="3"/>
  <c r="AD327" i="1"/>
  <c r="AD328" i="1" s="1"/>
  <c r="K160" i="4"/>
  <c r="K140" i="4"/>
  <c r="H383" i="4"/>
  <c r="H381" i="4" s="1"/>
  <c r="H379" i="4" s="1"/>
  <c r="I146" i="4"/>
  <c r="AD425" i="1"/>
  <c r="AC454" i="1"/>
  <c r="AC412" i="1"/>
  <c r="J46" i="3"/>
  <c r="I54" i="3"/>
  <c r="I56" i="3" s="1"/>
  <c r="Z351" i="1"/>
  <c r="Z326" i="1"/>
  <c r="Z11" i="1" s="1"/>
  <c r="X427" i="1"/>
  <c r="X413" i="1" s="1"/>
  <c r="Y425" i="1"/>
  <c r="Y427" i="1" s="1"/>
  <c r="Y413" i="1" s="1"/>
  <c r="X454" i="1"/>
  <c r="X412" i="1"/>
  <c r="K26" i="3"/>
  <c r="K437" i="1"/>
  <c r="K443" i="1" s="1"/>
  <c r="J452" i="1"/>
  <c r="J450" i="1" s="1"/>
  <c r="J13" i="1"/>
  <c r="K279" i="4"/>
  <c r="K285" i="4"/>
  <c r="K271" i="4"/>
  <c r="K259" i="4"/>
  <c r="J314" i="4"/>
  <c r="K305" i="4" s="1"/>
  <c r="K306" i="4"/>
  <c r="K310" i="4" s="1"/>
  <c r="V442" i="1"/>
  <c r="V372" i="1"/>
  <c r="I375" i="4"/>
  <c r="J339" i="4"/>
  <c r="I13" i="4"/>
  <c r="K24" i="3"/>
  <c r="L15" i="3" s="1"/>
  <c r="L16" i="3"/>
  <c r="AC366" i="1"/>
  <c r="AC352" i="1"/>
  <c r="X352" i="1"/>
  <c r="X366" i="1"/>
  <c r="J274" i="4"/>
  <c r="AC485" i="1" l="1"/>
  <c r="J377" i="1"/>
  <c r="J460" i="1" s="1"/>
  <c r="J458" i="1" s="1"/>
  <c r="J456" i="1" s="1"/>
  <c r="J448" i="1" s="1"/>
  <c r="AA326" i="1"/>
  <c r="AA11" i="1" s="1"/>
  <c r="Y369" i="1"/>
  <c r="Y374" i="1" s="1"/>
  <c r="Y375" i="1" s="1"/>
  <c r="T12" i="1"/>
  <c r="W12" i="1"/>
  <c r="V374" i="1"/>
  <c r="V375" i="1" s="1"/>
  <c r="U177" i="4"/>
  <c r="U178" i="4" s="1"/>
  <c r="U179" i="4" s="1"/>
  <c r="V175" i="4" s="1"/>
  <c r="AE189" i="4"/>
  <c r="AE190" i="4" s="1"/>
  <c r="AE191" i="4" s="1"/>
  <c r="AF187" i="4" s="1"/>
  <c r="I295" i="4"/>
  <c r="I290" i="4"/>
  <c r="L25" i="3"/>
  <c r="L20" i="3"/>
  <c r="L19" i="3" s="1"/>
  <c r="L270" i="4"/>
  <c r="L265" i="4"/>
  <c r="L264" i="4" s="1"/>
  <c r="AB479" i="1"/>
  <c r="AB426" i="1"/>
  <c r="AB370" i="1"/>
  <c r="AC367" i="1"/>
  <c r="AC369" i="1"/>
  <c r="J304" i="4"/>
  <c r="X442" i="1"/>
  <c r="X372" i="1"/>
  <c r="L260" i="4"/>
  <c r="AC442" i="1"/>
  <c r="AC372" i="1"/>
  <c r="AA352" i="1"/>
  <c r="AA366" i="1"/>
  <c r="K347" i="4"/>
  <c r="K340" i="4" s="1"/>
  <c r="K143" i="4"/>
  <c r="Z487" i="1"/>
  <c r="Z482" i="1"/>
  <c r="Z485" i="1" s="1"/>
  <c r="Z488" i="1"/>
  <c r="I383" i="4"/>
  <c r="I381" i="4" s="1"/>
  <c r="I379" i="4" s="1"/>
  <c r="J146" i="4"/>
  <c r="X369" i="1"/>
  <c r="X438" i="1" s="1"/>
  <c r="X441" i="1" s="1"/>
  <c r="X367" i="1"/>
  <c r="H376" i="4"/>
  <c r="H373" i="4" s="1"/>
  <c r="H371" i="4" s="1"/>
  <c r="H301" i="4"/>
  <c r="H289" i="4"/>
  <c r="L276" i="4"/>
  <c r="L280" i="4" s="1"/>
  <c r="K284" i="4"/>
  <c r="AB326" i="1"/>
  <c r="AB11" i="1" s="1"/>
  <c r="AB351" i="1"/>
  <c r="Z366" i="1"/>
  <c r="Z352" i="1"/>
  <c r="J50" i="3"/>
  <c r="J45" i="3"/>
  <c r="AD426" i="1"/>
  <c r="AD370" i="1"/>
  <c r="AD479" i="1"/>
  <c r="AE183" i="4"/>
  <c r="AE184" i="4" s="1"/>
  <c r="AE185" i="4"/>
  <c r="AF181" i="4" s="1"/>
  <c r="R166" i="4"/>
  <c r="R162" i="4" s="1"/>
  <c r="K309" i="4"/>
  <c r="K315" i="4"/>
  <c r="K359" i="4"/>
  <c r="K358" i="4" s="1"/>
  <c r="K156" i="4"/>
  <c r="K161" i="4"/>
  <c r="K148" i="4"/>
  <c r="J316" i="4"/>
  <c r="L40" i="3"/>
  <c r="L34" i="3"/>
  <c r="J367" i="4"/>
  <c r="J363" i="4"/>
  <c r="L437" i="1"/>
  <c r="L443" i="1" s="1"/>
  <c r="K452" i="1"/>
  <c r="K450" i="1" s="1"/>
  <c r="K13" i="1"/>
  <c r="AD351" i="1"/>
  <c r="AD326" i="1"/>
  <c r="AD11" i="1" s="1"/>
  <c r="Z427" i="1"/>
  <c r="Z413" i="1" s="1"/>
  <c r="AA425" i="1"/>
  <c r="AA427" i="1" s="1"/>
  <c r="AA413" i="1" s="1"/>
  <c r="Z454" i="1"/>
  <c r="Z412" i="1"/>
  <c r="R167" i="4"/>
  <c r="K377" i="1" l="1"/>
  <c r="K460" i="1" s="1"/>
  <c r="K458" i="1" s="1"/>
  <c r="K456" i="1" s="1"/>
  <c r="K448" i="1" s="1"/>
  <c r="Y438" i="1"/>
  <c r="Y441" i="1" s="1"/>
  <c r="Y12" i="1"/>
  <c r="V12" i="1"/>
  <c r="AC374" i="1"/>
  <c r="AC12" i="1" s="1"/>
  <c r="X374" i="1"/>
  <c r="X12" i="1" s="1"/>
  <c r="AF189" i="4"/>
  <c r="AF190" i="4" s="1"/>
  <c r="AF191" i="4" s="1"/>
  <c r="AG187" i="4" s="1"/>
  <c r="X375" i="1"/>
  <c r="V179" i="4"/>
  <c r="W175" i="4" s="1"/>
  <c r="V177" i="4"/>
  <c r="V178" i="4" s="1"/>
  <c r="AD488" i="1"/>
  <c r="AD482" i="1"/>
  <c r="AD485" i="1" s="1"/>
  <c r="AD487" i="1"/>
  <c r="L279" i="4"/>
  <c r="L285" i="4"/>
  <c r="AD454" i="1"/>
  <c r="AD427" i="1"/>
  <c r="AD413" i="1" s="1"/>
  <c r="AD412" i="1"/>
  <c r="L24" i="3"/>
  <c r="M16" i="3"/>
  <c r="L159" i="4"/>
  <c r="K387" i="4"/>
  <c r="K386" i="4" s="1"/>
  <c r="I300" i="4"/>
  <c r="I294" i="4"/>
  <c r="I255" i="4" s="1"/>
  <c r="I256" i="4"/>
  <c r="AD366" i="1"/>
  <c r="AD352" i="1"/>
  <c r="J55" i="3"/>
  <c r="J12" i="3"/>
  <c r="J49" i="3"/>
  <c r="J11" i="3" s="1"/>
  <c r="AC425" i="1"/>
  <c r="AC427" i="1" s="1"/>
  <c r="AC413" i="1" s="1"/>
  <c r="AC438" i="1" s="1"/>
  <c r="AC441" i="1" s="1"/>
  <c r="AB427" i="1"/>
  <c r="AB413" i="1" s="1"/>
  <c r="AB454" i="1"/>
  <c r="AB412" i="1"/>
  <c r="K144" i="4"/>
  <c r="K12" i="4"/>
  <c r="S163" i="4"/>
  <c r="S165" i="4"/>
  <c r="AA367" i="1"/>
  <c r="AA369" i="1"/>
  <c r="AA374" i="1" s="1"/>
  <c r="K314" i="4"/>
  <c r="L306" i="4"/>
  <c r="L310" i="4" s="1"/>
  <c r="J383" i="4"/>
  <c r="J381" i="4" s="1"/>
  <c r="J379" i="4" s="1"/>
  <c r="K146" i="4"/>
  <c r="AB366" i="1"/>
  <c r="AB352" i="1"/>
  <c r="AF183" i="4"/>
  <c r="AF184" i="4" s="1"/>
  <c r="AF185" i="4" s="1"/>
  <c r="AG181" i="4" s="1"/>
  <c r="Z442" i="1"/>
  <c r="Z372" i="1"/>
  <c r="M437" i="1"/>
  <c r="M443" i="1" s="1"/>
  <c r="L452" i="1"/>
  <c r="L450" i="1" s="1"/>
  <c r="L13" i="1"/>
  <c r="Z367" i="1"/>
  <c r="Z369" i="1"/>
  <c r="L259" i="4"/>
  <c r="J375" i="4"/>
  <c r="K339" i="4"/>
  <c r="J13" i="4"/>
  <c r="AB487" i="1"/>
  <c r="AB482" i="1"/>
  <c r="AB485" i="1" s="1"/>
  <c r="AB488" i="1"/>
  <c r="L39" i="3"/>
  <c r="M31" i="3"/>
  <c r="M35" i="3" s="1"/>
  <c r="L275" i="4"/>
  <c r="K274" i="4"/>
  <c r="K286" i="4"/>
  <c r="L269" i="4"/>
  <c r="M261" i="4"/>
  <c r="L377" i="1" l="1"/>
  <c r="M377" i="1" s="1"/>
  <c r="AC375" i="1"/>
  <c r="Z374" i="1"/>
  <c r="Z375" i="1" s="1"/>
  <c r="AG183" i="4"/>
  <c r="AG184" i="4" s="1"/>
  <c r="AG185" i="4"/>
  <c r="AH181" i="4" s="1"/>
  <c r="AG189" i="4"/>
  <c r="AG190" i="4" s="1"/>
  <c r="AG191" i="4" s="1"/>
  <c r="AH187" i="4" s="1"/>
  <c r="AA375" i="1"/>
  <c r="AA12" i="1"/>
  <c r="AD442" i="1"/>
  <c r="AD372" i="1"/>
  <c r="L309" i="4"/>
  <c r="L315" i="4"/>
  <c r="M260" i="4"/>
  <c r="M270" i="4"/>
  <c r="M265" i="4"/>
  <c r="M264" i="4" s="1"/>
  <c r="K367" i="4"/>
  <c r="K363" i="4"/>
  <c r="M25" i="3"/>
  <c r="M20" i="3"/>
  <c r="M19" i="3" s="1"/>
  <c r="I299" i="4"/>
  <c r="J291" i="4"/>
  <c r="AA438" i="1"/>
  <c r="AA441" i="1" s="1"/>
  <c r="N437" i="1"/>
  <c r="N443" i="1" s="1"/>
  <c r="M452" i="1"/>
  <c r="M450" i="1" s="1"/>
  <c r="M13" i="1"/>
  <c r="L271" i="4"/>
  <c r="W177" i="4"/>
  <c r="W178" i="4" s="1"/>
  <c r="W179" i="4" s="1"/>
  <c r="X175" i="4" s="1"/>
  <c r="Z438" i="1"/>
  <c r="Z441" i="1" s="1"/>
  <c r="K46" i="3"/>
  <c r="J54" i="3"/>
  <c r="J56" i="3" s="1"/>
  <c r="L286" i="4"/>
  <c r="M15" i="3"/>
  <c r="L26" i="3"/>
  <c r="S167" i="4"/>
  <c r="AD367" i="1"/>
  <c r="AD369" i="1"/>
  <c r="L305" i="4"/>
  <c r="K304" i="4"/>
  <c r="K316" i="4"/>
  <c r="M40" i="3"/>
  <c r="M34" i="3"/>
  <c r="S166" i="4"/>
  <c r="S162" i="4" s="1"/>
  <c r="M30" i="3"/>
  <c r="L41" i="3"/>
  <c r="AB369" i="1"/>
  <c r="AB367" i="1"/>
  <c r="AB372" i="1"/>
  <c r="AB442" i="1"/>
  <c r="K383" i="4"/>
  <c r="K381" i="4" s="1"/>
  <c r="K379" i="4" s="1"/>
  <c r="L160" i="4"/>
  <c r="L140" i="4"/>
  <c r="L284" i="4"/>
  <c r="M275" i="4" s="1"/>
  <c r="M276" i="4"/>
  <c r="M280" i="4" s="1"/>
  <c r="L460" i="1" l="1"/>
  <c r="L458" i="1" s="1"/>
  <c r="L456" i="1" s="1"/>
  <c r="L448" i="1" s="1"/>
  <c r="Z12" i="1"/>
  <c r="AB374" i="1"/>
  <c r="AB375" i="1" s="1"/>
  <c r="AD374" i="1"/>
  <c r="AD375" i="1" s="1"/>
  <c r="AB438" i="1"/>
  <c r="AB441" i="1" s="1"/>
  <c r="X177" i="4"/>
  <c r="X178" i="4" s="1"/>
  <c r="X179" i="4" s="1"/>
  <c r="Y175" i="4" s="1"/>
  <c r="AH191" i="4"/>
  <c r="AI187" i="4" s="1"/>
  <c r="AH189" i="4"/>
  <c r="AH190" i="4" s="1"/>
  <c r="L316" i="4"/>
  <c r="L304" i="4"/>
  <c r="M285" i="4"/>
  <c r="M279" i="4"/>
  <c r="AD438" i="1"/>
  <c r="AD441" i="1" s="1"/>
  <c r="M269" i="4"/>
  <c r="N261" i="4"/>
  <c r="M306" i="4"/>
  <c r="M310" i="4" s="1"/>
  <c r="L314" i="4"/>
  <c r="M305" i="4" s="1"/>
  <c r="K50" i="3"/>
  <c r="K45" i="3"/>
  <c r="K375" i="4"/>
  <c r="L339" i="4"/>
  <c r="K13" i="4"/>
  <c r="AH183" i="4"/>
  <c r="AH184" i="4" s="1"/>
  <c r="AH185" i="4"/>
  <c r="AI181" i="4" s="1"/>
  <c r="M39" i="3"/>
  <c r="N30" i="3" s="1"/>
  <c r="N31" i="3"/>
  <c r="N35" i="3" s="1"/>
  <c r="M41" i="3"/>
  <c r="N452" i="1"/>
  <c r="N450" i="1" s="1"/>
  <c r="O437" i="1"/>
  <c r="O443" i="1" s="1"/>
  <c r="N13" i="1"/>
  <c r="M24" i="3"/>
  <c r="N15" i="3" s="1"/>
  <c r="N16" i="3"/>
  <c r="L347" i="4"/>
  <c r="L340" i="4" s="1"/>
  <c r="L143" i="4"/>
  <c r="M26" i="3"/>
  <c r="M460" i="1"/>
  <c r="M458" i="1" s="1"/>
  <c r="M456" i="1" s="1"/>
  <c r="M448" i="1" s="1"/>
  <c r="N377" i="1"/>
  <c r="I376" i="4"/>
  <c r="I373" i="4" s="1"/>
  <c r="I371" i="4" s="1"/>
  <c r="I289" i="4"/>
  <c r="I301" i="4"/>
  <c r="T163" i="4"/>
  <c r="T165" i="4"/>
  <c r="L359" i="4"/>
  <c r="L358" i="4" s="1"/>
  <c r="L161" i="4"/>
  <c r="L148" i="4"/>
  <c r="L156" i="4"/>
  <c r="L274" i="4"/>
  <c r="J295" i="4"/>
  <c r="J290" i="4"/>
  <c r="AD12" i="1" l="1"/>
  <c r="AB12" i="1"/>
  <c r="Y177" i="4"/>
  <c r="Y178" i="4" s="1"/>
  <c r="Y179" i="4" s="1"/>
  <c r="Z175" i="4" s="1"/>
  <c r="M284" i="4"/>
  <c r="N276" i="4"/>
  <c r="N280" i="4" s="1"/>
  <c r="N460" i="1"/>
  <c r="N458" i="1" s="1"/>
  <c r="N456" i="1" s="1"/>
  <c r="N448" i="1" s="1"/>
  <c r="O377" i="1"/>
  <c r="M315" i="4"/>
  <c r="M309" i="4"/>
  <c r="O452" i="1"/>
  <c r="O450" i="1" s="1"/>
  <c r="P437" i="1"/>
  <c r="P443" i="1" s="1"/>
  <c r="O13" i="1"/>
  <c r="N40" i="3"/>
  <c r="N34" i="3"/>
  <c r="J300" i="4"/>
  <c r="J294" i="4"/>
  <c r="J255" i="4" s="1"/>
  <c r="J256" i="4"/>
  <c r="L144" i="4"/>
  <c r="L12" i="4"/>
  <c r="L146" i="4"/>
  <c r="N260" i="4"/>
  <c r="K49" i="3"/>
  <c r="K11" i="3" s="1"/>
  <c r="K12" i="3"/>
  <c r="K55" i="3"/>
  <c r="AI191" i="4"/>
  <c r="AJ187" i="4" s="1"/>
  <c r="AI189" i="4"/>
  <c r="AI190" i="4" s="1"/>
  <c r="M259" i="4"/>
  <c r="N265" i="4"/>
  <c r="N264" i="4" s="1"/>
  <c r="N270" i="4"/>
  <c r="M159" i="4"/>
  <c r="L387" i="4"/>
  <c r="L386" i="4" s="1"/>
  <c r="N20" i="3"/>
  <c r="N19" i="3" s="1"/>
  <c r="N25" i="3"/>
  <c r="M271" i="4"/>
  <c r="T162" i="4"/>
  <c r="T166" i="4"/>
  <c r="T167" i="4"/>
  <c r="L367" i="4"/>
  <c r="L363" i="4"/>
  <c r="AI183" i="4"/>
  <c r="AI184" i="4" s="1"/>
  <c r="AI185" i="4" s="1"/>
  <c r="AJ181" i="4" s="1"/>
  <c r="AJ183" i="4" l="1"/>
  <c r="AJ184" i="4" s="1"/>
  <c r="AJ185" i="4" s="1"/>
  <c r="AK181" i="4" s="1"/>
  <c r="Z177" i="4"/>
  <c r="Z178" i="4" s="1"/>
  <c r="Z179" i="4" s="1"/>
  <c r="AA175" i="4" s="1"/>
  <c r="N269" i="4"/>
  <c r="O261" i="4"/>
  <c r="M140" i="4"/>
  <c r="M160" i="4"/>
  <c r="P377" i="1"/>
  <c r="O460" i="1"/>
  <c r="O458" i="1" s="1"/>
  <c r="O456" i="1" s="1"/>
  <c r="O448" i="1" s="1"/>
  <c r="P452" i="1"/>
  <c r="P450" i="1" s="1"/>
  <c r="Q437" i="1"/>
  <c r="Q443" i="1" s="1"/>
  <c r="P13" i="1"/>
  <c r="U163" i="4"/>
  <c r="U165" i="4"/>
  <c r="N285" i="4"/>
  <c r="N279" i="4"/>
  <c r="N275" i="4"/>
  <c r="M286" i="4"/>
  <c r="M274" i="4"/>
  <c r="L383" i="4"/>
  <c r="L381" i="4" s="1"/>
  <c r="L379" i="4" s="1"/>
  <c r="AJ191" i="4"/>
  <c r="AK187" i="4" s="1"/>
  <c r="AJ189" i="4"/>
  <c r="AJ190" i="4" s="1"/>
  <c r="L46" i="3"/>
  <c r="K54" i="3"/>
  <c r="K56" i="3" s="1"/>
  <c r="N39" i="3"/>
  <c r="O31" i="3"/>
  <c r="O35" i="3" s="1"/>
  <c r="N271" i="4"/>
  <c r="N259" i="4"/>
  <c r="N306" i="4"/>
  <c r="N310" i="4" s="1"/>
  <c r="M314" i="4"/>
  <c r="L375" i="4"/>
  <c r="M339" i="4"/>
  <c r="L13" i="4"/>
  <c r="J299" i="4"/>
  <c r="K291" i="4"/>
  <c r="N24" i="3"/>
  <c r="O16" i="3"/>
  <c r="AA177" i="4" l="1"/>
  <c r="AA178" i="4" s="1"/>
  <c r="AA179" i="4" s="1"/>
  <c r="AB175" i="4" s="1"/>
  <c r="AK183" i="4"/>
  <c r="AK184" i="4" s="1"/>
  <c r="AK185" i="4"/>
  <c r="AL181" i="4" s="1"/>
  <c r="P460" i="1"/>
  <c r="P458" i="1" s="1"/>
  <c r="Q377" i="1"/>
  <c r="C3" i="1"/>
  <c r="O40" i="3"/>
  <c r="O39" i="3" s="1"/>
  <c r="O34" i="3"/>
  <c r="O260" i="4"/>
  <c r="AK189" i="4"/>
  <c r="AK190" i="4" s="1"/>
  <c r="AK191" i="4"/>
  <c r="AL187" i="4" s="1"/>
  <c r="N315" i="4"/>
  <c r="N309" i="4"/>
  <c r="O30" i="3"/>
  <c r="N41" i="3"/>
  <c r="N284" i="4"/>
  <c r="O275" i="4" s="1"/>
  <c r="O276" i="4"/>
  <c r="O280" i="4" s="1"/>
  <c r="N305" i="4"/>
  <c r="M304" i="4"/>
  <c r="M316" i="4"/>
  <c r="O270" i="4"/>
  <c r="O265" i="4"/>
  <c r="O264" i="4" s="1"/>
  <c r="O15" i="3"/>
  <c r="O26" i="3" s="1"/>
  <c r="N26" i="3"/>
  <c r="U166" i="4"/>
  <c r="U162" i="4" s="1"/>
  <c r="Q452" i="1"/>
  <c r="Q450" i="1" s="1"/>
  <c r="R437" i="1"/>
  <c r="R443" i="1" s="1"/>
  <c r="Q13" i="1"/>
  <c r="M347" i="4"/>
  <c r="M340" i="4" s="1"/>
  <c r="M363" i="4" s="1"/>
  <c r="M143" i="4"/>
  <c r="K295" i="4"/>
  <c r="K290" i="4"/>
  <c r="L50" i="3"/>
  <c r="L45" i="3"/>
  <c r="U167" i="4"/>
  <c r="M156" i="4"/>
  <c r="M161" i="4"/>
  <c r="M359" i="4"/>
  <c r="M358" i="4" s="1"/>
  <c r="M367" i="4" s="1"/>
  <c r="M148" i="4"/>
  <c r="O25" i="3"/>
  <c r="O24" i="3" s="1"/>
  <c r="O20" i="3"/>
  <c r="O19" i="3" s="1"/>
  <c r="J376" i="4"/>
  <c r="J373" i="4" s="1"/>
  <c r="J371" i="4" s="1"/>
  <c r="J301" i="4"/>
  <c r="J289" i="4"/>
  <c r="M375" i="4" l="1"/>
  <c r="N339" i="4"/>
  <c r="M13" i="4"/>
  <c r="AB177" i="4"/>
  <c r="AB178" i="4" s="1"/>
  <c r="AB179" i="4" s="1"/>
  <c r="AC175" i="4" s="1"/>
  <c r="O259" i="4"/>
  <c r="N274" i="4"/>
  <c r="N316" i="4"/>
  <c r="N304" i="4"/>
  <c r="R452" i="1"/>
  <c r="R450" i="1" s="1"/>
  <c r="S437" i="1"/>
  <c r="S443" i="1" s="1"/>
  <c r="R13" i="1"/>
  <c r="P456" i="1"/>
  <c r="P448" i="1" s="1"/>
  <c r="C5" i="1"/>
  <c r="N314" i="4"/>
  <c r="O305" i="4" s="1"/>
  <c r="O306" i="4"/>
  <c r="O310" i="4" s="1"/>
  <c r="AL183" i="4"/>
  <c r="AL184" i="4" s="1"/>
  <c r="AL185" i="4"/>
  <c r="AM181" i="4" s="1"/>
  <c r="O41" i="3"/>
  <c r="L55" i="3"/>
  <c r="L49" i="3"/>
  <c r="L11" i="3" s="1"/>
  <c r="L12" i="3"/>
  <c r="N286" i="4"/>
  <c r="M144" i="4"/>
  <c r="M12" i="4"/>
  <c r="M146" i="4"/>
  <c r="O269" i="4"/>
  <c r="P261" i="4"/>
  <c r="AL189" i="4"/>
  <c r="AL190" i="4" s="1"/>
  <c r="AL191" i="4" s="1"/>
  <c r="AM187" i="4" s="1"/>
  <c r="O285" i="4"/>
  <c r="O279" i="4"/>
  <c r="N159" i="4"/>
  <c r="M387" i="4"/>
  <c r="M386" i="4" s="1"/>
  <c r="V163" i="4"/>
  <c r="V165" i="4"/>
  <c r="F3" i="1"/>
  <c r="G3" i="1" s="1"/>
  <c r="Q460" i="1"/>
  <c r="Q458" i="1" s="1"/>
  <c r="Q456" i="1" s="1"/>
  <c r="Q448" i="1" s="1"/>
  <c r="R377" i="1"/>
  <c r="K294" i="4"/>
  <c r="K255" i="4" s="1"/>
  <c r="K300" i="4"/>
  <c r="K256" i="4"/>
  <c r="C6" i="1" a="1"/>
  <c r="C6" i="1" l="1"/>
  <c r="AC177" i="4"/>
  <c r="AC178" i="4" s="1"/>
  <c r="AC179" i="4"/>
  <c r="AD175" i="4" s="1"/>
  <c r="AM189" i="4"/>
  <c r="AM190" i="4" s="1"/>
  <c r="AM191" i="4"/>
  <c r="S377" i="1"/>
  <c r="R460" i="1"/>
  <c r="R458" i="1" s="1"/>
  <c r="R456" i="1" s="1"/>
  <c r="R448" i="1" s="1"/>
  <c r="O315" i="4"/>
  <c r="O309" i="4"/>
  <c r="V162" i="4"/>
  <c r="V166" i="4"/>
  <c r="V167" i="4" s="1"/>
  <c r="P270" i="4"/>
  <c r="P265" i="4"/>
  <c r="P264" i="4" s="1"/>
  <c r="L54" i="3"/>
  <c r="L56" i="3" s="1"/>
  <c r="M46" i="3"/>
  <c r="N140" i="4"/>
  <c r="N160" i="4"/>
  <c r="O284" i="4"/>
  <c r="P276" i="4"/>
  <c r="P280" i="4" s="1"/>
  <c r="AM183" i="4"/>
  <c r="AM184" i="4" s="1"/>
  <c r="AM185" i="4" s="1"/>
  <c r="P260" i="4"/>
  <c r="O271" i="4"/>
  <c r="M383" i="4"/>
  <c r="M381" i="4" s="1"/>
  <c r="M379" i="4" s="1"/>
  <c r="L291" i="4"/>
  <c r="K299" i="4"/>
  <c r="S452" i="1"/>
  <c r="S450" i="1" s="1"/>
  <c r="T437" i="1"/>
  <c r="T443" i="1" s="1"/>
  <c r="S13" i="1"/>
  <c r="W163" i="4" l="1"/>
  <c r="W165" i="4"/>
  <c r="P275" i="4"/>
  <c r="O274" i="4"/>
  <c r="O286" i="4"/>
  <c r="T452" i="1"/>
  <c r="T450" i="1" s="1"/>
  <c r="U437" i="1"/>
  <c r="U443" i="1" s="1"/>
  <c r="T13" i="1"/>
  <c r="N156" i="4"/>
  <c r="N161" i="4"/>
  <c r="N359" i="4"/>
  <c r="N358" i="4" s="1"/>
  <c r="N148" i="4"/>
  <c r="K376" i="4"/>
  <c r="K373" i="4" s="1"/>
  <c r="K371" i="4" s="1"/>
  <c r="K289" i="4"/>
  <c r="K301" i="4"/>
  <c r="T377" i="1"/>
  <c r="S460" i="1"/>
  <c r="S458" i="1" s="1"/>
  <c r="S456" i="1" s="1"/>
  <c r="S448" i="1" s="1"/>
  <c r="P271" i="4"/>
  <c r="P259" i="4"/>
  <c r="N347" i="4"/>
  <c r="N340" i="4" s="1"/>
  <c r="N143" i="4"/>
  <c r="O314" i="4"/>
  <c r="P306" i="4"/>
  <c r="P310" i="4" s="1"/>
  <c r="AD179" i="4"/>
  <c r="AE175" i="4" s="1"/>
  <c r="AD177" i="4"/>
  <c r="AD178" i="4" s="1"/>
  <c r="P285" i="4"/>
  <c r="P279" i="4"/>
  <c r="P269" i="4"/>
  <c r="Q261" i="4"/>
  <c r="L295" i="4"/>
  <c r="L290" i="4"/>
  <c r="M45" i="3"/>
  <c r="M50" i="3"/>
  <c r="P315" i="4" l="1"/>
  <c r="P309" i="4"/>
  <c r="U452" i="1"/>
  <c r="U450" i="1" s="1"/>
  <c r="V437" i="1"/>
  <c r="V443" i="1" s="1"/>
  <c r="U13" i="1"/>
  <c r="Q265" i="4"/>
  <c r="Q264" i="4" s="1"/>
  <c r="Q270" i="4"/>
  <c r="N363" i="4"/>
  <c r="N367" i="4"/>
  <c r="U377" i="1"/>
  <c r="T460" i="1"/>
  <c r="T458" i="1" s="1"/>
  <c r="T456" i="1" s="1"/>
  <c r="T448" i="1" s="1"/>
  <c r="M55" i="3"/>
  <c r="M49" i="3"/>
  <c r="M11" i="3" s="1"/>
  <c r="M12" i="3"/>
  <c r="N144" i="4"/>
  <c r="N12" i="4"/>
  <c r="N146" i="4"/>
  <c r="P305" i="4"/>
  <c r="O316" i="4"/>
  <c r="O304" i="4"/>
  <c r="O159" i="4"/>
  <c r="N387" i="4"/>
  <c r="N386" i="4" s="1"/>
  <c r="L294" i="4"/>
  <c r="L255" i="4" s="1"/>
  <c r="L300" i="4"/>
  <c r="L256" i="4"/>
  <c r="W166" i="4"/>
  <c r="W162" i="4" s="1"/>
  <c r="Q260" i="4"/>
  <c r="P284" i="4"/>
  <c r="Q275" i="4" s="1"/>
  <c r="Q276" i="4"/>
  <c r="Q280" i="4" s="1"/>
  <c r="AE177" i="4"/>
  <c r="AE178" i="4" s="1"/>
  <c r="AE179" i="4" s="1"/>
  <c r="AF175" i="4" s="1"/>
  <c r="W167" i="4"/>
  <c r="AF177" i="4" l="1"/>
  <c r="AF178" i="4" s="1"/>
  <c r="AF179" i="4" s="1"/>
  <c r="AG175" i="4" s="1"/>
  <c r="O140" i="4"/>
  <c r="O160" i="4"/>
  <c r="R261" i="4"/>
  <c r="Q269" i="4"/>
  <c r="V377" i="1"/>
  <c r="U460" i="1"/>
  <c r="U458" i="1" s="1"/>
  <c r="U456" i="1" s="1"/>
  <c r="U448" i="1" s="1"/>
  <c r="P304" i="4"/>
  <c r="P274" i="4"/>
  <c r="N383" i="4"/>
  <c r="N381" i="4" s="1"/>
  <c r="N379" i="4" s="1"/>
  <c r="P286" i="4"/>
  <c r="V452" i="1"/>
  <c r="V450" i="1" s="1"/>
  <c r="W437" i="1"/>
  <c r="W443" i="1" s="1"/>
  <c r="V13" i="1"/>
  <c r="N375" i="4"/>
  <c r="O339" i="4"/>
  <c r="N13" i="4"/>
  <c r="X163" i="4"/>
  <c r="X165" i="4"/>
  <c r="M291" i="4"/>
  <c r="L299" i="4"/>
  <c r="Q285" i="4"/>
  <c r="Q279" i="4"/>
  <c r="M54" i="3"/>
  <c r="M56" i="3" s="1"/>
  <c r="N46" i="3"/>
  <c r="P314" i="4"/>
  <c r="Q305" i="4" s="1"/>
  <c r="Q306" i="4"/>
  <c r="Q310" i="4" s="1"/>
  <c r="AG177" i="4" l="1"/>
  <c r="AG178" i="4" s="1"/>
  <c r="AG179" i="4" s="1"/>
  <c r="AH175" i="4" s="1"/>
  <c r="Q315" i="4"/>
  <c r="Q309" i="4"/>
  <c r="P316" i="4"/>
  <c r="Q284" i="4"/>
  <c r="R276" i="4"/>
  <c r="R280" i="4" s="1"/>
  <c r="O347" i="4"/>
  <c r="O340" i="4" s="1"/>
  <c r="O367" i="4" s="1"/>
  <c r="O143" i="4"/>
  <c r="AN140" i="4"/>
  <c r="L376" i="4"/>
  <c r="L373" i="4" s="1"/>
  <c r="L371" i="4" s="1"/>
  <c r="L301" i="4"/>
  <c r="L289" i="4"/>
  <c r="M295" i="4"/>
  <c r="M290" i="4"/>
  <c r="X166" i="4"/>
  <c r="X162" i="4" s="1"/>
  <c r="X167" i="4"/>
  <c r="N45" i="3"/>
  <c r="N50" i="3"/>
  <c r="V460" i="1"/>
  <c r="V458" i="1" s="1"/>
  <c r="V456" i="1" s="1"/>
  <c r="V448" i="1" s="1"/>
  <c r="W377" i="1"/>
  <c r="R260" i="4"/>
  <c r="R270" i="4"/>
  <c r="R265" i="4"/>
  <c r="R264" i="4" s="1"/>
  <c r="X437" i="1"/>
  <c r="X443" i="1" s="1"/>
  <c r="W452" i="1"/>
  <c r="W450" i="1" s="1"/>
  <c r="W13" i="1"/>
  <c r="Q259" i="4"/>
  <c r="Q271" i="4"/>
  <c r="O359" i="4"/>
  <c r="O358" i="4" s="1"/>
  <c r="O148" i="4"/>
  <c r="AN148" i="4" s="1"/>
  <c r="O156" i="4"/>
  <c r="O161" i="4"/>
  <c r="O375" i="4" l="1"/>
  <c r="P339" i="4"/>
  <c r="O13" i="4"/>
  <c r="AN13" i="4" s="1"/>
  <c r="AH177" i="4"/>
  <c r="AH178" i="4" s="1"/>
  <c r="AH179" i="4" s="1"/>
  <c r="AI175" i="4" s="1"/>
  <c r="Y437" i="1"/>
  <c r="Y443" i="1" s="1"/>
  <c r="X452" i="1"/>
  <c r="X450" i="1" s="1"/>
  <c r="X13" i="1"/>
  <c r="M294" i="4"/>
  <c r="M255" i="4" s="1"/>
  <c r="M300" i="4"/>
  <c r="M256" i="4"/>
  <c r="Y163" i="4"/>
  <c r="Y165" i="4"/>
  <c r="R275" i="4"/>
  <c r="Q286" i="4"/>
  <c r="Q274" i="4"/>
  <c r="O363" i="4"/>
  <c r="S261" i="4"/>
  <c r="R269" i="4"/>
  <c r="N55" i="3"/>
  <c r="N49" i="3"/>
  <c r="N11" i="3" s="1"/>
  <c r="N12" i="3"/>
  <c r="O144" i="4"/>
  <c r="O12" i="4"/>
  <c r="AN12" i="4" s="1"/>
  <c r="AN143" i="4"/>
  <c r="AN144" i="4" s="1"/>
  <c r="D396" i="4"/>
  <c r="D395" i="4"/>
  <c r="O146" i="4"/>
  <c r="R279" i="4"/>
  <c r="R285" i="4"/>
  <c r="R271" i="4"/>
  <c r="R259" i="4"/>
  <c r="P159" i="4"/>
  <c r="P157" i="4"/>
  <c r="O387" i="4"/>
  <c r="O386" i="4" s="1"/>
  <c r="W460" i="1"/>
  <c r="W458" i="1" s="1"/>
  <c r="W456" i="1" s="1"/>
  <c r="W448" i="1" s="1"/>
  <c r="X377" i="1"/>
  <c r="Q314" i="4"/>
  <c r="R306" i="4"/>
  <c r="R310" i="4" s="1"/>
  <c r="AI177" i="4" l="1"/>
  <c r="AI178" i="4" s="1"/>
  <c r="AI179" i="4" s="1"/>
  <c r="AJ175" i="4" s="1"/>
  <c r="M299" i="4"/>
  <c r="N291" i="4"/>
  <c r="S276" i="4"/>
  <c r="S280" i="4" s="1"/>
  <c r="R284" i="4"/>
  <c r="S275" i="4" s="1"/>
  <c r="R286" i="4"/>
  <c r="R274" i="4"/>
  <c r="S260" i="4"/>
  <c r="Y166" i="4"/>
  <c r="Y162" i="4" s="1"/>
  <c r="R305" i="4"/>
  <c r="Q316" i="4"/>
  <c r="Q304" i="4"/>
  <c r="X460" i="1"/>
  <c r="X458" i="1" s="1"/>
  <c r="X456" i="1" s="1"/>
  <c r="X448" i="1" s="1"/>
  <c r="Y377" i="1"/>
  <c r="P161" i="4"/>
  <c r="N54" i="3"/>
  <c r="N56" i="3" s="1"/>
  <c r="O46" i="3"/>
  <c r="S270" i="4"/>
  <c r="S265" i="4"/>
  <c r="S264" i="4" s="1"/>
  <c r="O383" i="4"/>
  <c r="O381" i="4" s="1"/>
  <c r="AN146" i="4"/>
  <c r="C3" i="4"/>
  <c r="R315" i="4"/>
  <c r="R309" i="4"/>
  <c r="Z437" i="1"/>
  <c r="Z443" i="1" s="1"/>
  <c r="Y452" i="1"/>
  <c r="Y450" i="1" s="1"/>
  <c r="Y13" i="1"/>
  <c r="P140" i="4"/>
  <c r="P160" i="4"/>
  <c r="AJ179" i="4" l="1"/>
  <c r="AK175" i="4" s="1"/>
  <c r="AJ177" i="4"/>
  <c r="AJ178" i="4" s="1"/>
  <c r="O50" i="3"/>
  <c r="O45" i="3"/>
  <c r="Z452" i="1"/>
  <c r="Z450" i="1" s="1"/>
  <c r="AA437" i="1"/>
  <c r="AA443" i="1" s="1"/>
  <c r="Z13" i="1"/>
  <c r="P387" i="4"/>
  <c r="P386" i="4" s="1"/>
  <c r="Q159" i="4"/>
  <c r="Q157" i="4"/>
  <c r="Y460" i="1"/>
  <c r="Y458" i="1" s="1"/>
  <c r="Y456" i="1" s="1"/>
  <c r="Y448" i="1" s="1"/>
  <c r="Z377" i="1"/>
  <c r="S279" i="4"/>
  <c r="S285" i="4"/>
  <c r="N290" i="4"/>
  <c r="N295" i="4"/>
  <c r="P347" i="4"/>
  <c r="P340" i="4" s="1"/>
  <c r="P143" i="4"/>
  <c r="E3" i="4"/>
  <c r="F3" i="4" s="1"/>
  <c r="O379" i="4"/>
  <c r="C5" i="4"/>
  <c r="S259" i="4"/>
  <c r="Y167" i="4"/>
  <c r="R314" i="4"/>
  <c r="S305" i="4" s="1"/>
  <c r="S306" i="4"/>
  <c r="S310" i="4" s="1"/>
  <c r="M376" i="4"/>
  <c r="M373" i="4" s="1"/>
  <c r="M371" i="4" s="1"/>
  <c r="M289" i="4"/>
  <c r="M301" i="4"/>
  <c r="P359" i="4"/>
  <c r="P358" i="4" s="1"/>
  <c r="P148" i="4"/>
  <c r="P156" i="4"/>
  <c r="T261" i="4"/>
  <c r="S269" i="4"/>
  <c r="C6" i="4" a="1"/>
  <c r="C6" i="4" l="1"/>
  <c r="Z460" i="1"/>
  <c r="Z458" i="1" s="1"/>
  <c r="Z456" i="1" s="1"/>
  <c r="Z448" i="1" s="1"/>
  <c r="AA377" i="1"/>
  <c r="P144" i="4"/>
  <c r="P12" i="4"/>
  <c r="P146" i="4"/>
  <c r="AA452" i="1"/>
  <c r="AA450" i="1" s="1"/>
  <c r="AB437" i="1"/>
  <c r="AB443" i="1" s="1"/>
  <c r="AA13" i="1"/>
  <c r="T260" i="4"/>
  <c r="S271" i="4"/>
  <c r="N294" i="4"/>
  <c r="N255" i="4" s="1"/>
  <c r="N256" i="4"/>
  <c r="N300" i="4"/>
  <c r="R304" i="4"/>
  <c r="O55" i="3"/>
  <c r="O54" i="3" s="1"/>
  <c r="O56" i="3" s="1"/>
  <c r="O49" i="3"/>
  <c r="O11" i="3" s="1"/>
  <c r="O12" i="3"/>
  <c r="S315" i="4"/>
  <c r="S309" i="4"/>
  <c r="P367" i="4"/>
  <c r="P363" i="4"/>
  <c r="T270" i="4"/>
  <c r="T265" i="4"/>
  <c r="T264" i="4" s="1"/>
  <c r="R316" i="4"/>
  <c r="T276" i="4"/>
  <c r="T280" i="4" s="1"/>
  <c r="S284" i="4"/>
  <c r="Q160" i="4"/>
  <c r="Q140" i="4"/>
  <c r="Z165" i="4"/>
  <c r="Z163" i="4"/>
  <c r="AK177" i="4"/>
  <c r="AK178" i="4" s="1"/>
  <c r="AK179" i="4" s="1"/>
  <c r="AL175" i="4" s="1"/>
  <c r="AL177" i="4" l="1"/>
  <c r="AL178" i="4" s="1"/>
  <c r="AL179" i="4" s="1"/>
  <c r="AM175" i="4" s="1"/>
  <c r="P383" i="4"/>
  <c r="P381" i="4" s="1"/>
  <c r="P379" i="4" s="1"/>
  <c r="AB452" i="1"/>
  <c r="AB450" i="1" s="1"/>
  <c r="AC437" i="1"/>
  <c r="AC443" i="1" s="1"/>
  <c r="AB13" i="1"/>
  <c r="AA460" i="1"/>
  <c r="AA458" i="1" s="1"/>
  <c r="AA456" i="1" s="1"/>
  <c r="AA448" i="1" s="1"/>
  <c r="AB377" i="1"/>
  <c r="T271" i="4"/>
  <c r="T259" i="4"/>
  <c r="Q359" i="4"/>
  <c r="Q358" i="4" s="1"/>
  <c r="Q148" i="4"/>
  <c r="Q156" i="4"/>
  <c r="Q347" i="4"/>
  <c r="Q340" i="4" s="1"/>
  <c r="Q143" i="4"/>
  <c r="Q146" i="4" s="1"/>
  <c r="S314" i="4"/>
  <c r="T306" i="4"/>
  <c r="T310" i="4" s="1"/>
  <c r="Q161" i="4"/>
  <c r="T275" i="4"/>
  <c r="S286" i="4"/>
  <c r="S274" i="4"/>
  <c r="T279" i="4"/>
  <c r="T285" i="4"/>
  <c r="U261" i="4"/>
  <c r="T269" i="4"/>
  <c r="N299" i="4"/>
  <c r="O291" i="4"/>
  <c r="Z166" i="4"/>
  <c r="Z167" i="4" s="1"/>
  <c r="Z162" i="4"/>
  <c r="Q339" i="4"/>
  <c r="P375" i="4"/>
  <c r="P13" i="4"/>
  <c r="Q383" i="4" l="1"/>
  <c r="Q381" i="4" s="1"/>
  <c r="AM179" i="4"/>
  <c r="AM177" i="4"/>
  <c r="AM178" i="4" s="1"/>
  <c r="AB460" i="1"/>
  <c r="AB458" i="1" s="1"/>
  <c r="AB456" i="1" s="1"/>
  <c r="AB448" i="1" s="1"/>
  <c r="AC377" i="1"/>
  <c r="AC452" i="1"/>
  <c r="AC450" i="1" s="1"/>
  <c r="AD437" i="1"/>
  <c r="AD443" i="1" s="1"/>
  <c r="AC13" i="1"/>
  <c r="Q367" i="4"/>
  <c r="Q363" i="4"/>
  <c r="N376" i="4"/>
  <c r="N373" i="4" s="1"/>
  <c r="N371" i="4" s="1"/>
  <c r="N289" i="4"/>
  <c r="N301" i="4"/>
  <c r="T309" i="4"/>
  <c r="T315" i="4"/>
  <c r="O295" i="4"/>
  <c r="O290" i="4"/>
  <c r="Q144" i="4"/>
  <c r="Q12" i="4"/>
  <c r="U260" i="4"/>
  <c r="U270" i="4"/>
  <c r="U265" i="4"/>
  <c r="U264" i="4" s="1"/>
  <c r="Q387" i="4"/>
  <c r="Q386" i="4" s="1"/>
  <c r="R159" i="4"/>
  <c r="R157" i="4"/>
  <c r="T305" i="4"/>
  <c r="S304" i="4"/>
  <c r="S316" i="4"/>
  <c r="U276" i="4"/>
  <c r="U280" i="4" s="1"/>
  <c r="T284" i="4"/>
  <c r="U275" i="4" s="1"/>
  <c r="U279" i="4" l="1"/>
  <c r="U285" i="4"/>
  <c r="O294" i="4"/>
  <c r="O255" i="4" s="1"/>
  <c r="O300" i="4"/>
  <c r="O256" i="4"/>
  <c r="U306" i="4"/>
  <c r="U310" i="4" s="1"/>
  <c r="T314" i="4"/>
  <c r="U305" i="4" s="1"/>
  <c r="AC460" i="1"/>
  <c r="AC458" i="1" s="1"/>
  <c r="AC456" i="1" s="1"/>
  <c r="AC448" i="1" s="1"/>
  <c r="AD377" i="1"/>
  <c r="AD460" i="1" s="1"/>
  <c r="AD458" i="1" s="1"/>
  <c r="AD456" i="1" s="1"/>
  <c r="T286" i="4"/>
  <c r="Q375" i="4"/>
  <c r="R339" i="4"/>
  <c r="Q13" i="4"/>
  <c r="R160" i="4"/>
  <c r="R140" i="4"/>
  <c r="U269" i="4"/>
  <c r="V261" i="4"/>
  <c r="U271" i="4"/>
  <c r="AD452" i="1"/>
  <c r="AD450" i="1" s="1"/>
  <c r="AD13" i="1"/>
  <c r="T274" i="4"/>
  <c r="Q379" i="4"/>
  <c r="AD448" i="1" l="1"/>
  <c r="V260" i="4"/>
  <c r="R347" i="4"/>
  <c r="R340" i="4" s="1"/>
  <c r="R143" i="4"/>
  <c r="T316" i="4"/>
  <c r="O299" i="4"/>
  <c r="P291" i="4"/>
  <c r="R367" i="4"/>
  <c r="R363" i="4"/>
  <c r="U309" i="4"/>
  <c r="U315" i="4"/>
  <c r="R359" i="4"/>
  <c r="R358" i="4" s="1"/>
  <c r="R156" i="4"/>
  <c r="R148" i="4"/>
  <c r="R161" i="4"/>
  <c r="V276" i="4"/>
  <c r="V280" i="4" s="1"/>
  <c r="U284" i="4"/>
  <c r="V270" i="4"/>
  <c r="V265" i="4"/>
  <c r="V264" i="4" s="1"/>
  <c r="T304" i="4"/>
  <c r="U259" i="4"/>
  <c r="R375" i="4" l="1"/>
  <c r="S339" i="4"/>
  <c r="R13" i="4"/>
  <c r="V275" i="4"/>
  <c r="U274" i="4"/>
  <c r="U286" i="4"/>
  <c r="V271" i="4"/>
  <c r="V259" i="4"/>
  <c r="P295" i="4"/>
  <c r="P290" i="4"/>
  <c r="V279" i="4"/>
  <c r="V285" i="4"/>
  <c r="R387" i="4"/>
  <c r="R386" i="4" s="1"/>
  <c r="S157" i="4"/>
  <c r="S159" i="4"/>
  <c r="V269" i="4"/>
  <c r="W261" i="4"/>
  <c r="O376" i="4"/>
  <c r="O373" i="4" s="1"/>
  <c r="O371" i="4" s="1"/>
  <c r="O301" i="4"/>
  <c r="O289" i="4"/>
  <c r="R144" i="4"/>
  <c r="R12" i="4"/>
  <c r="R146" i="4"/>
  <c r="U314" i="4"/>
  <c r="V306" i="4"/>
  <c r="V310" i="4" s="1"/>
  <c r="R383" i="4" l="1"/>
  <c r="R381" i="4" s="1"/>
  <c r="R379" i="4" s="1"/>
  <c r="P294" i="4"/>
  <c r="P300" i="4"/>
  <c r="W276" i="4"/>
  <c r="W280" i="4" s="1"/>
  <c r="V284" i="4"/>
  <c r="W275" i="4" s="1"/>
  <c r="W260" i="4"/>
  <c r="V286" i="4"/>
  <c r="V274" i="4"/>
  <c r="S160" i="4"/>
  <c r="S140" i="4"/>
  <c r="V309" i="4"/>
  <c r="V315" i="4"/>
  <c r="S161" i="4"/>
  <c r="W270" i="4"/>
  <c r="W265" i="4"/>
  <c r="W264" i="4" s="1"/>
  <c r="V305" i="4"/>
  <c r="U316" i="4"/>
  <c r="U304" i="4"/>
  <c r="S387" i="4" l="1"/>
  <c r="S386" i="4" s="1"/>
  <c r="T157" i="4"/>
  <c r="T159" i="4"/>
  <c r="S347" i="4"/>
  <c r="S340" i="4" s="1"/>
  <c r="S143" i="4"/>
  <c r="W269" i="4"/>
  <c r="X261" i="4"/>
  <c r="W279" i="4"/>
  <c r="W285" i="4"/>
  <c r="Q291" i="4"/>
  <c r="P299" i="4"/>
  <c r="V314" i="4"/>
  <c r="W305" i="4" s="1"/>
  <c r="W306" i="4"/>
  <c r="W310" i="4" s="1"/>
  <c r="S359" i="4"/>
  <c r="S358" i="4" s="1"/>
  <c r="S156" i="4"/>
  <c r="S148" i="4"/>
  <c r="X260" i="4" l="1"/>
  <c r="W259" i="4"/>
  <c r="S367" i="4"/>
  <c r="S363" i="4"/>
  <c r="W271" i="4"/>
  <c r="S144" i="4"/>
  <c r="S12" i="4"/>
  <c r="S146" i="4"/>
  <c r="V304" i="4"/>
  <c r="W309" i="4"/>
  <c r="W315" i="4"/>
  <c r="T160" i="4"/>
  <c r="T140" i="4"/>
  <c r="T161" i="4"/>
  <c r="P376" i="4"/>
  <c r="P373" i="4" s="1"/>
  <c r="P371" i="4" s="1"/>
  <c r="P301" i="4"/>
  <c r="P289" i="4"/>
  <c r="Q295" i="4"/>
  <c r="Q290" i="4"/>
  <c r="X276" i="4"/>
  <c r="X280" i="4" s="1"/>
  <c r="W284" i="4"/>
  <c r="X270" i="4"/>
  <c r="X265" i="4"/>
  <c r="X264" i="4" s="1"/>
  <c r="V316" i="4"/>
  <c r="X275" i="4" l="1"/>
  <c r="W274" i="4"/>
  <c r="W286" i="4"/>
  <c r="X279" i="4"/>
  <c r="X285" i="4"/>
  <c r="S383" i="4"/>
  <c r="S381" i="4" s="1"/>
  <c r="S379" i="4" s="1"/>
  <c r="T387" i="4"/>
  <c r="T386" i="4" s="1"/>
  <c r="U157" i="4"/>
  <c r="U159" i="4"/>
  <c r="T347" i="4"/>
  <c r="T340" i="4" s="1"/>
  <c r="T143" i="4"/>
  <c r="T146" i="4" s="1"/>
  <c r="W314" i="4"/>
  <c r="X306" i="4"/>
  <c r="X310" i="4" s="1"/>
  <c r="Q300" i="4"/>
  <c r="Q294" i="4"/>
  <c r="T339" i="4"/>
  <c r="S375" i="4"/>
  <c r="S13" i="4"/>
  <c r="X269" i="4"/>
  <c r="Y261" i="4"/>
  <c r="T359" i="4"/>
  <c r="T358" i="4" s="1"/>
  <c r="T156" i="4"/>
  <c r="T148" i="4"/>
  <c r="T383" i="4" l="1"/>
  <c r="T381" i="4" s="1"/>
  <c r="T379" i="4" s="1"/>
  <c r="Y260" i="4"/>
  <c r="T367" i="4"/>
  <c r="T363" i="4"/>
  <c r="X284" i="4"/>
  <c r="Y275" i="4" s="1"/>
  <c r="Y276" i="4"/>
  <c r="Y280" i="4" s="1"/>
  <c r="T144" i="4"/>
  <c r="T12" i="4"/>
  <c r="U160" i="4"/>
  <c r="U140" i="4"/>
  <c r="Q299" i="4"/>
  <c r="R291" i="4"/>
  <c r="X309" i="4"/>
  <c r="X315" i="4"/>
  <c r="X305" i="4"/>
  <c r="W316" i="4"/>
  <c r="W304" i="4"/>
  <c r="X259" i="4"/>
  <c r="Y270" i="4"/>
  <c r="Y265" i="4"/>
  <c r="Y264" i="4" s="1"/>
  <c r="X271" i="4"/>
  <c r="U359" i="4" l="1"/>
  <c r="U358" i="4" s="1"/>
  <c r="U156" i="4"/>
  <c r="U148" i="4"/>
  <c r="Y285" i="4"/>
  <c r="Y279" i="4"/>
  <c r="T375" i="4"/>
  <c r="U339" i="4"/>
  <c r="T13" i="4"/>
  <c r="X316" i="4"/>
  <c r="X304" i="4"/>
  <c r="X314" i="4"/>
  <c r="Y305" i="4" s="1"/>
  <c r="Y306" i="4"/>
  <c r="Y310" i="4" s="1"/>
  <c r="R290" i="4"/>
  <c r="R295" i="4"/>
  <c r="Q376" i="4"/>
  <c r="Q373" i="4" s="1"/>
  <c r="Q371" i="4" s="1"/>
  <c r="Q289" i="4"/>
  <c r="Q301" i="4"/>
  <c r="X286" i="4"/>
  <c r="U161" i="4"/>
  <c r="Y269" i="4"/>
  <c r="Z261" i="4"/>
  <c r="X274" i="4"/>
  <c r="U347" i="4"/>
  <c r="U340" i="4" s="1"/>
  <c r="U143" i="4"/>
  <c r="U387" i="4" l="1"/>
  <c r="U386" i="4" s="1"/>
  <c r="V157" i="4"/>
  <c r="V159" i="4"/>
  <c r="R300" i="4"/>
  <c r="R294" i="4"/>
  <c r="Y284" i="4"/>
  <c r="Z276" i="4"/>
  <c r="Z280" i="4" s="1"/>
  <c r="Z260" i="4"/>
  <c r="Y259" i="4"/>
  <c r="Y315" i="4"/>
  <c r="Y309" i="4"/>
  <c r="Z265" i="4"/>
  <c r="Z264" i="4" s="1"/>
  <c r="Z270" i="4"/>
  <c r="U367" i="4"/>
  <c r="U363" i="4"/>
  <c r="U144" i="4"/>
  <c r="U12" i="4"/>
  <c r="U146" i="4"/>
  <c r="Y271" i="4"/>
  <c r="U383" i="4" l="1"/>
  <c r="U381" i="4" s="1"/>
  <c r="U379" i="4" s="1"/>
  <c r="U375" i="4"/>
  <c r="V339" i="4"/>
  <c r="U13" i="4"/>
  <c r="Z269" i="4"/>
  <c r="AA261" i="4"/>
  <c r="R299" i="4"/>
  <c r="S291" i="4"/>
  <c r="Z271" i="4"/>
  <c r="Z259" i="4"/>
  <c r="Z285" i="4"/>
  <c r="Z279" i="4"/>
  <c r="V160" i="4"/>
  <c r="V140" i="4"/>
  <c r="Y314" i="4"/>
  <c r="Z306" i="4"/>
  <c r="Z310" i="4" s="1"/>
  <c r="V161" i="4"/>
  <c r="Z275" i="4"/>
  <c r="Y274" i="4"/>
  <c r="Y286" i="4"/>
  <c r="R376" i="4" l="1"/>
  <c r="R373" i="4" s="1"/>
  <c r="R371" i="4" s="1"/>
  <c r="R301" i="4"/>
  <c r="R289" i="4"/>
  <c r="AA270" i="4"/>
  <c r="AA265" i="4"/>
  <c r="AA264" i="4" s="1"/>
  <c r="Z315" i="4"/>
  <c r="Z309" i="4"/>
  <c r="Z305" i="4"/>
  <c r="Y304" i="4"/>
  <c r="Y316" i="4"/>
  <c r="V347" i="4"/>
  <c r="V340" i="4" s="1"/>
  <c r="V143" i="4"/>
  <c r="V359" i="4"/>
  <c r="V358" i="4" s="1"/>
  <c r="V367" i="4" s="1"/>
  <c r="V156" i="4"/>
  <c r="V148" i="4"/>
  <c r="Z284" i="4"/>
  <c r="AA275" i="4" s="1"/>
  <c r="AA276" i="4"/>
  <c r="AA280" i="4" s="1"/>
  <c r="S290" i="4"/>
  <c r="S295" i="4"/>
  <c r="V387" i="4"/>
  <c r="V386" i="4" s="1"/>
  <c r="W157" i="4"/>
  <c r="W159" i="4"/>
  <c r="AA260" i="4"/>
  <c r="V375" i="4" l="1"/>
  <c r="W339" i="4"/>
  <c r="V13" i="4"/>
  <c r="V363" i="4"/>
  <c r="AA285" i="4"/>
  <c r="AA279" i="4"/>
  <c r="S300" i="4"/>
  <c r="S294" i="4"/>
  <c r="Z314" i="4"/>
  <c r="AA305" i="4" s="1"/>
  <c r="AA306" i="4"/>
  <c r="AA310" i="4" s="1"/>
  <c r="Z274" i="4"/>
  <c r="AA269" i="4"/>
  <c r="AB261" i="4"/>
  <c r="W160" i="4"/>
  <c r="W140" i="4"/>
  <c r="Z286" i="4"/>
  <c r="AA271" i="4"/>
  <c r="AA259" i="4"/>
  <c r="V144" i="4"/>
  <c r="V12" i="4"/>
  <c r="V146" i="4"/>
  <c r="W347" i="4" l="1"/>
  <c r="W340" i="4" s="1"/>
  <c r="W143" i="4"/>
  <c r="W359" i="4"/>
  <c r="W358" i="4" s="1"/>
  <c r="W363" i="4" s="1"/>
  <c r="W156" i="4"/>
  <c r="W148" i="4"/>
  <c r="S299" i="4"/>
  <c r="T291" i="4"/>
  <c r="V383" i="4"/>
  <c r="V381" i="4" s="1"/>
  <c r="V379" i="4" s="1"/>
  <c r="W146" i="4"/>
  <c r="AA284" i="4"/>
  <c r="AB276" i="4"/>
  <c r="AB280" i="4" s="1"/>
  <c r="W161" i="4"/>
  <c r="Z304" i="4"/>
  <c r="AB270" i="4"/>
  <c r="AB265" i="4"/>
  <c r="AB264" i="4" s="1"/>
  <c r="AB260" i="4"/>
  <c r="AA315" i="4"/>
  <c r="AA309" i="4"/>
  <c r="Z316" i="4"/>
  <c r="AB275" i="4" l="1"/>
  <c r="AA274" i="4"/>
  <c r="AA286" i="4"/>
  <c r="AA314" i="4"/>
  <c r="AB306" i="4"/>
  <c r="AB310" i="4" s="1"/>
  <c r="S376" i="4"/>
  <c r="S373" i="4" s="1"/>
  <c r="S371" i="4" s="1"/>
  <c r="S301" i="4"/>
  <c r="S289" i="4"/>
  <c r="AB285" i="4"/>
  <c r="AB279" i="4"/>
  <c r="W387" i="4"/>
  <c r="W386" i="4" s="1"/>
  <c r="X159" i="4"/>
  <c r="X157" i="4"/>
  <c r="W383" i="4"/>
  <c r="W381" i="4" s="1"/>
  <c r="W379" i="4" s="1"/>
  <c r="T290" i="4"/>
  <c r="T295" i="4"/>
  <c r="W367" i="4"/>
  <c r="W144" i="4"/>
  <c r="W12" i="4"/>
  <c r="AB269" i="4"/>
  <c r="AC261" i="4"/>
  <c r="AC260" i="4" l="1"/>
  <c r="AB284" i="4"/>
  <c r="AC275" i="4" s="1"/>
  <c r="AC276" i="4"/>
  <c r="AC280" i="4" s="1"/>
  <c r="AB315" i="4"/>
  <c r="AB309" i="4"/>
  <c r="AB259" i="4"/>
  <c r="W375" i="4"/>
  <c r="X339" i="4"/>
  <c r="W13" i="4"/>
  <c r="T300" i="4"/>
  <c r="T294" i="4"/>
  <c r="AB305" i="4"/>
  <c r="AA316" i="4"/>
  <c r="AA304" i="4"/>
  <c r="X160" i="4"/>
  <c r="X140" i="4"/>
  <c r="AB286" i="4"/>
  <c r="AB274" i="4"/>
  <c r="AC270" i="4"/>
  <c r="AC265" i="4"/>
  <c r="AC264" i="4" s="1"/>
  <c r="AB271" i="4"/>
  <c r="X347" i="4" l="1"/>
  <c r="X340" i="4" s="1"/>
  <c r="X143" i="4"/>
  <c r="AD261" i="4"/>
  <c r="AC269" i="4"/>
  <c r="T299" i="4"/>
  <c r="U291" i="4"/>
  <c r="X359" i="4"/>
  <c r="X358" i="4" s="1"/>
  <c r="X367" i="4" s="1"/>
  <c r="X148" i="4"/>
  <c r="X156" i="4"/>
  <c r="X161" i="4"/>
  <c r="AB314" i="4"/>
  <c r="AC305" i="4" s="1"/>
  <c r="AC306" i="4"/>
  <c r="AC310" i="4" s="1"/>
  <c r="AC271" i="4"/>
  <c r="AC259" i="4"/>
  <c r="AC285" i="4"/>
  <c r="AC279" i="4"/>
  <c r="X375" i="4" l="1"/>
  <c r="Y339" i="4"/>
  <c r="X13" i="4"/>
  <c r="T376" i="4"/>
  <c r="T373" i="4" s="1"/>
  <c r="T371" i="4" s="1"/>
  <c r="T301" i="4"/>
  <c r="T289" i="4"/>
  <c r="U295" i="4"/>
  <c r="U290" i="4"/>
  <c r="X363" i="4"/>
  <c r="AD270" i="4"/>
  <c r="AD265" i="4"/>
  <c r="AD264" i="4" s="1"/>
  <c r="AC284" i="4"/>
  <c r="AD276" i="4"/>
  <c r="AD280" i="4" s="1"/>
  <c r="AD260" i="4"/>
  <c r="AB304" i="4"/>
  <c r="AB316" i="4"/>
  <c r="AC315" i="4"/>
  <c r="AC309" i="4"/>
  <c r="X144" i="4"/>
  <c r="X12" i="4"/>
  <c r="X146" i="4"/>
  <c r="X387" i="4"/>
  <c r="X386" i="4" s="1"/>
  <c r="Y159" i="4"/>
  <c r="Y157" i="4"/>
  <c r="U300" i="4" l="1"/>
  <c r="U294" i="4"/>
  <c r="X383" i="4"/>
  <c r="X381" i="4" s="1"/>
  <c r="X379" i="4" s="1"/>
  <c r="AD269" i="4"/>
  <c r="AE261" i="4"/>
  <c r="AD275" i="4"/>
  <c r="AC286" i="4"/>
  <c r="AC274" i="4"/>
  <c r="AC314" i="4"/>
  <c r="AD306" i="4"/>
  <c r="AD310" i="4" s="1"/>
  <c r="Y140" i="4"/>
  <c r="Y160" i="4"/>
  <c r="AD285" i="4"/>
  <c r="AD279" i="4"/>
  <c r="Y347" i="4" l="1"/>
  <c r="Y340" i="4" s="1"/>
  <c r="Y143" i="4"/>
  <c r="AE260" i="4"/>
  <c r="AD259" i="4"/>
  <c r="AD305" i="4"/>
  <c r="AC304" i="4"/>
  <c r="AC316" i="4"/>
  <c r="AE270" i="4"/>
  <c r="AE265" i="4"/>
  <c r="AE264" i="4" s="1"/>
  <c r="AD271" i="4"/>
  <c r="AD284" i="4"/>
  <c r="AE275" i="4" s="1"/>
  <c r="AE276" i="4"/>
  <c r="AE280" i="4" s="1"/>
  <c r="Y359" i="4"/>
  <c r="Y358" i="4" s="1"/>
  <c r="Y148" i="4"/>
  <c r="Y156" i="4"/>
  <c r="Y161" i="4"/>
  <c r="AD315" i="4"/>
  <c r="AD309" i="4"/>
  <c r="U299" i="4"/>
  <c r="V291" i="4"/>
  <c r="V290" i="4" l="1"/>
  <c r="V295" i="4"/>
  <c r="U376" i="4"/>
  <c r="U373" i="4" s="1"/>
  <c r="U371" i="4" s="1"/>
  <c r="U289" i="4"/>
  <c r="U301" i="4"/>
  <c r="AD286" i="4"/>
  <c r="Y387" i="4"/>
  <c r="Y386" i="4" s="1"/>
  <c r="Z159" i="4"/>
  <c r="Z157" i="4"/>
  <c r="AE271" i="4"/>
  <c r="AE259" i="4"/>
  <c r="Y144" i="4"/>
  <c r="Y12" i="4"/>
  <c r="Y146" i="4"/>
  <c r="AE269" i="4"/>
  <c r="AF261" i="4"/>
  <c r="AD274" i="4"/>
  <c r="AD314" i="4"/>
  <c r="AE305" i="4" s="1"/>
  <c r="AE306" i="4"/>
  <c r="AE310" i="4" s="1"/>
  <c r="AD316" i="4"/>
  <c r="AD304" i="4"/>
  <c r="AE285" i="4"/>
  <c r="AE279" i="4"/>
  <c r="Y363" i="4"/>
  <c r="Y367" i="4"/>
  <c r="AE315" i="4" l="1"/>
  <c r="AE309" i="4"/>
  <c r="AF270" i="4"/>
  <c r="AF265" i="4"/>
  <c r="AF264" i="4" s="1"/>
  <c r="AE284" i="4"/>
  <c r="AF276" i="4"/>
  <c r="AF280" i="4" s="1"/>
  <c r="Z140" i="4"/>
  <c r="Z160" i="4"/>
  <c r="Y375" i="4"/>
  <c r="Z339" i="4"/>
  <c r="Y13" i="4"/>
  <c r="AF260" i="4"/>
  <c r="Y383" i="4"/>
  <c r="Y381" i="4" s="1"/>
  <c r="Y379" i="4" s="1"/>
  <c r="V294" i="4"/>
  <c r="V300" i="4"/>
  <c r="Z347" i="4" l="1"/>
  <c r="Z340" i="4" s="1"/>
  <c r="Z143" i="4"/>
  <c r="Z359" i="4"/>
  <c r="Z358" i="4" s="1"/>
  <c r="Z148" i="4"/>
  <c r="Z156" i="4"/>
  <c r="W291" i="4"/>
  <c r="V299" i="4"/>
  <c r="AF269" i="4"/>
  <c r="AG261" i="4"/>
  <c r="AE314" i="4"/>
  <c r="AF306" i="4"/>
  <c r="AF310" i="4" s="1"/>
  <c r="AF279" i="4"/>
  <c r="AF285" i="4"/>
  <c r="AF275" i="4"/>
  <c r="AE286" i="4"/>
  <c r="AE274" i="4"/>
  <c r="Z367" i="4"/>
  <c r="Z363" i="4"/>
  <c r="Z161" i="4"/>
  <c r="AG260" i="4" l="1"/>
  <c r="Z375" i="4"/>
  <c r="AA339" i="4"/>
  <c r="Z13" i="4"/>
  <c r="V376" i="4"/>
  <c r="V373" i="4" s="1"/>
  <c r="V371" i="4" s="1"/>
  <c r="V301" i="4"/>
  <c r="V289" i="4"/>
  <c r="AG276" i="4"/>
  <c r="AG280" i="4" s="1"/>
  <c r="AF284" i="4"/>
  <c r="AG275" i="4" s="1"/>
  <c r="AF309" i="4"/>
  <c r="AF315" i="4"/>
  <c r="Z144" i="4"/>
  <c r="Z12" i="4"/>
  <c r="Z146" i="4"/>
  <c r="AG270" i="4"/>
  <c r="AG265" i="4"/>
  <c r="AG264" i="4" s="1"/>
  <c r="AF271" i="4"/>
  <c r="Z387" i="4"/>
  <c r="Z386" i="4" s="1"/>
  <c r="AA157" i="4"/>
  <c r="AA159" i="4"/>
  <c r="AF259" i="4"/>
  <c r="W295" i="4"/>
  <c r="W290" i="4"/>
  <c r="AF305" i="4"/>
  <c r="AE316" i="4"/>
  <c r="AE304" i="4"/>
  <c r="AF274" i="4" l="1"/>
  <c r="AF286" i="4"/>
  <c r="AH261" i="4"/>
  <c r="AG269" i="4"/>
  <c r="AG279" i="4"/>
  <c r="AG285" i="4"/>
  <c r="Z383" i="4"/>
  <c r="Z381" i="4" s="1"/>
  <c r="Z379" i="4" s="1"/>
  <c r="AF316" i="4"/>
  <c r="AG306" i="4"/>
  <c r="AG310" i="4" s="1"/>
  <c r="AF314" i="4"/>
  <c r="AG305" i="4" s="1"/>
  <c r="AG271" i="4"/>
  <c r="AG259" i="4"/>
  <c r="AA140" i="4"/>
  <c r="AA160" i="4"/>
  <c r="W294" i="4"/>
  <c r="W300" i="4"/>
  <c r="AA359" i="4" l="1"/>
  <c r="AA358" i="4" s="1"/>
  <c r="AA148" i="4"/>
  <c r="AA156" i="4"/>
  <c r="AH260" i="4"/>
  <c r="AA347" i="4"/>
  <c r="AA340" i="4" s="1"/>
  <c r="AA143" i="4"/>
  <c r="AH276" i="4"/>
  <c r="AH280" i="4" s="1"/>
  <c r="AG284" i="4"/>
  <c r="AG309" i="4"/>
  <c r="AG315" i="4"/>
  <c r="AH270" i="4"/>
  <c r="AH265" i="4"/>
  <c r="AH264" i="4" s="1"/>
  <c r="X291" i="4"/>
  <c r="W299" i="4"/>
  <c r="AF304" i="4"/>
  <c r="AA161" i="4"/>
  <c r="AA144" i="4" l="1"/>
  <c r="AA12" i="4"/>
  <c r="AA146" i="4"/>
  <c r="AA387" i="4"/>
  <c r="AA386" i="4" s="1"/>
  <c r="AB157" i="4"/>
  <c r="AB159" i="4"/>
  <c r="W376" i="4"/>
  <c r="W373" i="4" s="1"/>
  <c r="W371" i="4" s="1"/>
  <c r="W301" i="4"/>
  <c r="W289" i="4"/>
  <c r="AH275" i="4"/>
  <c r="AG286" i="4"/>
  <c r="AG274" i="4"/>
  <c r="AH279" i="4"/>
  <c r="AH285" i="4"/>
  <c r="X295" i="4"/>
  <c r="X290" i="4"/>
  <c r="AA367" i="4"/>
  <c r="AA363" i="4"/>
  <c r="AI261" i="4"/>
  <c r="AH269" i="4"/>
  <c r="AH259" i="4" s="1"/>
  <c r="AG314" i="4"/>
  <c r="AH306" i="4"/>
  <c r="AH310" i="4" s="1"/>
  <c r="X294" i="4" l="1"/>
  <c r="X300" i="4"/>
  <c r="AH305" i="4"/>
  <c r="AG304" i="4"/>
  <c r="AG316" i="4"/>
  <c r="AI260" i="4"/>
  <c r="AI270" i="4"/>
  <c r="AI265" i="4"/>
  <c r="AI264" i="4" s="1"/>
  <c r="AB140" i="4"/>
  <c r="AB160" i="4"/>
  <c r="AH271" i="4"/>
  <c r="AA383" i="4"/>
  <c r="AA381" i="4" s="1"/>
  <c r="AA379" i="4" s="1"/>
  <c r="AA375" i="4"/>
  <c r="AB339" i="4"/>
  <c r="AA13" i="4"/>
  <c r="AB161" i="4"/>
  <c r="AI276" i="4"/>
  <c r="AI280" i="4" s="1"/>
  <c r="AH284" i="4"/>
  <c r="AI275" i="4" s="1"/>
  <c r="AH309" i="4"/>
  <c r="AH315" i="4"/>
  <c r="AB347" i="4" l="1"/>
  <c r="AB340" i="4" s="1"/>
  <c r="AB143" i="4"/>
  <c r="AB367" i="4"/>
  <c r="AB363" i="4"/>
  <c r="AI279" i="4"/>
  <c r="AI285" i="4"/>
  <c r="AB387" i="4"/>
  <c r="AB386" i="4" s="1"/>
  <c r="AC157" i="4"/>
  <c r="AC159" i="4"/>
  <c r="AI271" i="4"/>
  <c r="AH274" i="4"/>
  <c r="AH286" i="4"/>
  <c r="Y291" i="4"/>
  <c r="X299" i="4"/>
  <c r="AI269" i="4"/>
  <c r="AJ261" i="4"/>
  <c r="AH314" i="4"/>
  <c r="AI305" i="4" s="1"/>
  <c r="AI306" i="4"/>
  <c r="AI310" i="4" s="1"/>
  <c r="AB359" i="4"/>
  <c r="AB358" i="4" s="1"/>
  <c r="AB148" i="4"/>
  <c r="AB156" i="4"/>
  <c r="AC140" i="4" l="1"/>
  <c r="AC160" i="4"/>
  <c r="AJ260" i="4"/>
  <c r="AI309" i="4"/>
  <c r="AI315" i="4"/>
  <c r="AC161" i="4"/>
  <c r="X376" i="4"/>
  <c r="X373" i="4" s="1"/>
  <c r="X371" i="4" s="1"/>
  <c r="X301" i="4"/>
  <c r="X289" i="4"/>
  <c r="Y295" i="4"/>
  <c r="Y290" i="4"/>
  <c r="AB144" i="4"/>
  <c r="AB12" i="4"/>
  <c r="AB146" i="4"/>
  <c r="AJ270" i="4"/>
  <c r="AJ265" i="4"/>
  <c r="AJ264" i="4" s="1"/>
  <c r="AJ276" i="4"/>
  <c r="AJ280" i="4" s="1"/>
  <c r="AI284" i="4"/>
  <c r="AC339" i="4"/>
  <c r="AB375" i="4"/>
  <c r="AB13" i="4"/>
  <c r="AH304" i="4"/>
  <c r="AI259" i="4"/>
  <c r="AH316" i="4"/>
  <c r="Y294" i="4" l="1"/>
  <c r="Y300" i="4"/>
  <c r="AJ275" i="4"/>
  <c r="AI286" i="4"/>
  <c r="AI274" i="4"/>
  <c r="AJ269" i="4"/>
  <c r="AK261" i="4"/>
  <c r="AJ271" i="4"/>
  <c r="AJ259" i="4"/>
  <c r="AJ279" i="4"/>
  <c r="AJ285" i="4"/>
  <c r="AC387" i="4"/>
  <c r="AC386" i="4" s="1"/>
  <c r="AD157" i="4"/>
  <c r="AD159" i="4"/>
  <c r="AI314" i="4"/>
  <c r="AJ306" i="4"/>
  <c r="AJ310" i="4" s="1"/>
  <c r="AB383" i="4"/>
  <c r="AB381" i="4" s="1"/>
  <c r="AB379" i="4" s="1"/>
  <c r="AC146" i="4"/>
  <c r="AC359" i="4"/>
  <c r="AC358" i="4" s="1"/>
  <c r="AC156" i="4"/>
  <c r="AC148" i="4"/>
  <c r="AC347" i="4"/>
  <c r="AC340" i="4" s="1"/>
  <c r="AC367" i="4" s="1"/>
  <c r="AC143" i="4"/>
  <c r="AC375" i="4" l="1"/>
  <c r="AD339" i="4"/>
  <c r="AC13" i="4"/>
  <c r="AK260" i="4"/>
  <c r="AJ305" i="4"/>
  <c r="AI316" i="4"/>
  <c r="AI304" i="4"/>
  <c r="Y299" i="4"/>
  <c r="Z291" i="4"/>
  <c r="AK270" i="4"/>
  <c r="AK265" i="4"/>
  <c r="AK264" i="4" s="1"/>
  <c r="AC383" i="4"/>
  <c r="AC381" i="4" s="1"/>
  <c r="AC379" i="4" s="1"/>
  <c r="AC144" i="4"/>
  <c r="AC12" i="4"/>
  <c r="AJ286" i="4"/>
  <c r="AJ274" i="4"/>
  <c r="AJ309" i="4"/>
  <c r="AJ315" i="4"/>
  <c r="AD160" i="4"/>
  <c r="AD140" i="4"/>
  <c r="AC363" i="4"/>
  <c r="AD161" i="4"/>
  <c r="AK276" i="4"/>
  <c r="AK280" i="4" s="1"/>
  <c r="AJ284" i="4"/>
  <c r="AK275" i="4" s="1"/>
  <c r="AD359" i="4" l="1"/>
  <c r="AD358" i="4" s="1"/>
  <c r="AD156" i="4"/>
  <c r="AD148" i="4"/>
  <c r="AD347" i="4"/>
  <c r="AD340" i="4" s="1"/>
  <c r="AD367" i="4" s="1"/>
  <c r="AD143" i="4"/>
  <c r="Y376" i="4"/>
  <c r="Y373" i="4" s="1"/>
  <c r="Y371" i="4" s="1"/>
  <c r="Y301" i="4"/>
  <c r="Y289" i="4"/>
  <c r="AK271" i="4"/>
  <c r="AK259" i="4"/>
  <c r="AD387" i="4"/>
  <c r="AD386" i="4" s="1"/>
  <c r="AE157" i="4"/>
  <c r="AE159" i="4"/>
  <c r="AK269" i="4"/>
  <c r="AL261" i="4"/>
  <c r="Z290" i="4"/>
  <c r="Z295" i="4"/>
  <c r="AK306" i="4"/>
  <c r="AK310" i="4" s="1"/>
  <c r="AJ314" i="4"/>
  <c r="AK305" i="4" s="1"/>
  <c r="AJ316" i="4"/>
  <c r="AK279" i="4"/>
  <c r="AK285" i="4"/>
  <c r="AD375" i="4" l="1"/>
  <c r="AE339" i="4"/>
  <c r="AD13" i="4"/>
  <c r="AE140" i="4"/>
  <c r="AE160" i="4"/>
  <c r="AK309" i="4"/>
  <c r="AK315" i="4"/>
  <c r="AL260" i="4"/>
  <c r="AD144" i="4"/>
  <c r="AD12" i="4"/>
  <c r="AD146" i="4"/>
  <c r="Z300" i="4"/>
  <c r="Z294" i="4"/>
  <c r="AL265" i="4"/>
  <c r="AL264" i="4" s="1"/>
  <c r="AL270" i="4"/>
  <c r="AD363" i="4"/>
  <c r="AL276" i="4"/>
  <c r="AL280" i="4" s="1"/>
  <c r="AK284" i="4"/>
  <c r="AJ304" i="4"/>
  <c r="AL275" i="4" l="1"/>
  <c r="AK286" i="4"/>
  <c r="AK274" i="4"/>
  <c r="AL269" i="4"/>
  <c r="AM261" i="4"/>
  <c r="AL285" i="4"/>
  <c r="AL279" i="4"/>
  <c r="AE347" i="4"/>
  <c r="AE340" i="4" s="1"/>
  <c r="AE143" i="4"/>
  <c r="AE363" i="4"/>
  <c r="AD383" i="4"/>
  <c r="AD381" i="4" s="1"/>
  <c r="AD379" i="4" s="1"/>
  <c r="AL271" i="4"/>
  <c r="AL259" i="4"/>
  <c r="AL306" i="4"/>
  <c r="AL310" i="4" s="1"/>
  <c r="AK314" i="4"/>
  <c r="AE359" i="4"/>
  <c r="AE358" i="4" s="1"/>
  <c r="AE367" i="4" s="1"/>
  <c r="AE156" i="4"/>
  <c r="AE148" i="4"/>
  <c r="Z299" i="4"/>
  <c r="AA291" i="4"/>
  <c r="AE161" i="4"/>
  <c r="AF339" i="4" l="1"/>
  <c r="AE375" i="4"/>
  <c r="AE13" i="4"/>
  <c r="AA295" i="4"/>
  <c r="AA290" i="4"/>
  <c r="AL315" i="4"/>
  <c r="AL309" i="4"/>
  <c r="AM260" i="4"/>
  <c r="AE387" i="4"/>
  <c r="AE386" i="4" s="1"/>
  <c r="AF157" i="4"/>
  <c r="AF159" i="4"/>
  <c r="Z376" i="4"/>
  <c r="Z373" i="4" s="1"/>
  <c r="Z371" i="4" s="1"/>
  <c r="Z301" i="4"/>
  <c r="Z289" i="4"/>
  <c r="AL284" i="4"/>
  <c r="AM275" i="4" s="1"/>
  <c r="AM276" i="4"/>
  <c r="AM280" i="4" s="1"/>
  <c r="AE144" i="4"/>
  <c r="AE12" i="4"/>
  <c r="AL305" i="4"/>
  <c r="AK304" i="4"/>
  <c r="AK316" i="4"/>
  <c r="AM270" i="4"/>
  <c r="AM269" i="4" s="1"/>
  <c r="AM265" i="4"/>
  <c r="AM264" i="4" s="1"/>
  <c r="AE146" i="4"/>
  <c r="AL314" i="4" l="1"/>
  <c r="AM305" i="4" s="1"/>
  <c r="AM306" i="4"/>
  <c r="AM310" i="4" s="1"/>
  <c r="AL274" i="4"/>
  <c r="AF160" i="4"/>
  <c r="AF140" i="4"/>
  <c r="AF161" i="4"/>
  <c r="AM271" i="4"/>
  <c r="AM259" i="4"/>
  <c r="AL286" i="4"/>
  <c r="AM285" i="4"/>
  <c r="AM284" i="4" s="1"/>
  <c r="AM279" i="4"/>
  <c r="AA300" i="4"/>
  <c r="AA294" i="4"/>
  <c r="AE383" i="4"/>
  <c r="AE381" i="4" s="1"/>
  <c r="AE379" i="4" s="1"/>
  <c r="AF387" i="4" l="1"/>
  <c r="AF386" i="4" s="1"/>
  <c r="AG157" i="4"/>
  <c r="AG159" i="4"/>
  <c r="AF359" i="4"/>
  <c r="AF358" i="4" s="1"/>
  <c r="AF156" i="4"/>
  <c r="AF148" i="4"/>
  <c r="AF347" i="4"/>
  <c r="AF340" i="4" s="1"/>
  <c r="AF143" i="4"/>
  <c r="AA299" i="4"/>
  <c r="AB291" i="4"/>
  <c r="AM315" i="4"/>
  <c r="AM314" i="4" s="1"/>
  <c r="AM316" i="4" s="1"/>
  <c r="AM309" i="4"/>
  <c r="AM274" i="4"/>
  <c r="AL304" i="4"/>
  <c r="AM286" i="4"/>
  <c r="AL316" i="4"/>
  <c r="AA376" i="4" l="1"/>
  <c r="AA373" i="4" s="1"/>
  <c r="AA371" i="4" s="1"/>
  <c r="AA301" i="4"/>
  <c r="AA289" i="4"/>
  <c r="AF363" i="4"/>
  <c r="AF367" i="4"/>
  <c r="AF144" i="4"/>
  <c r="AF12" i="4"/>
  <c r="AF146" i="4"/>
  <c r="AB295" i="4"/>
  <c r="AB290" i="4"/>
  <c r="AG160" i="4"/>
  <c r="AG161" i="4" s="1"/>
  <c r="AG140" i="4"/>
  <c r="AM304" i="4"/>
  <c r="AG387" i="4" l="1"/>
  <c r="AG386" i="4" s="1"/>
  <c r="AH157" i="4"/>
  <c r="AH159" i="4"/>
  <c r="AG347" i="4"/>
  <c r="AG340" i="4" s="1"/>
  <c r="AG143" i="4"/>
  <c r="AB300" i="4"/>
  <c r="AB294" i="4"/>
  <c r="AF383" i="4"/>
  <c r="AF381" i="4" s="1"/>
  <c r="AF379" i="4" s="1"/>
  <c r="AG146" i="4"/>
  <c r="AG339" i="4"/>
  <c r="AF375" i="4"/>
  <c r="AF13" i="4"/>
  <c r="AG359" i="4"/>
  <c r="AG358" i="4" s="1"/>
  <c r="AG156" i="4"/>
  <c r="AG148" i="4"/>
  <c r="AG383" i="4" l="1"/>
  <c r="AG381" i="4" s="1"/>
  <c r="AG379" i="4" s="1"/>
  <c r="AG144" i="4"/>
  <c r="AG12" i="4"/>
  <c r="AC291" i="4"/>
  <c r="AB299" i="4"/>
  <c r="AG367" i="4"/>
  <c r="AG363" i="4"/>
  <c r="AH160" i="4"/>
  <c r="AH140" i="4"/>
  <c r="AH161" i="4"/>
  <c r="AH347" i="4" l="1"/>
  <c r="AH340" i="4" s="1"/>
  <c r="AH143" i="4"/>
  <c r="AH387" i="4"/>
  <c r="AH386" i="4" s="1"/>
  <c r="AI157" i="4"/>
  <c r="AI159" i="4"/>
  <c r="AH359" i="4"/>
  <c r="AH358" i="4" s="1"/>
  <c r="AH156" i="4"/>
  <c r="AH148" i="4"/>
  <c r="AH339" i="4"/>
  <c r="AG375" i="4"/>
  <c r="AG13" i="4"/>
  <c r="AB376" i="4"/>
  <c r="AB373" i="4" s="1"/>
  <c r="AB371" i="4" s="1"/>
  <c r="AB301" i="4"/>
  <c r="AB289" i="4"/>
  <c r="AC295" i="4"/>
  <c r="AC290" i="4"/>
  <c r="AI160" i="4" l="1"/>
  <c r="AI140" i="4"/>
  <c r="AH367" i="4"/>
  <c r="AH363" i="4"/>
  <c r="AH144" i="4"/>
  <c r="AH12" i="4"/>
  <c r="AH146" i="4"/>
  <c r="AI161" i="4"/>
  <c r="AC300" i="4"/>
  <c r="AC294" i="4"/>
  <c r="AI387" i="4" l="1"/>
  <c r="AI386" i="4" s="1"/>
  <c r="AJ159" i="4"/>
  <c r="AJ157" i="4"/>
  <c r="AI347" i="4"/>
  <c r="AI340" i="4" s="1"/>
  <c r="AI143" i="4"/>
  <c r="AI359" i="4"/>
  <c r="AI358" i="4" s="1"/>
  <c r="AI156" i="4"/>
  <c r="AI148" i="4"/>
  <c r="AC299" i="4"/>
  <c r="AD291" i="4"/>
  <c r="AH383" i="4"/>
  <c r="AH381" i="4" s="1"/>
  <c r="AH379" i="4" s="1"/>
  <c r="AI146" i="4"/>
  <c r="AI339" i="4"/>
  <c r="AH375" i="4"/>
  <c r="AH13" i="4"/>
  <c r="AI383" i="4" l="1"/>
  <c r="AI381" i="4" s="1"/>
  <c r="AI379" i="4" s="1"/>
  <c r="AJ160" i="4"/>
  <c r="AJ140" i="4"/>
  <c r="AD295" i="4"/>
  <c r="AD290" i="4"/>
  <c r="AC376" i="4"/>
  <c r="AC373" i="4" s="1"/>
  <c r="AC371" i="4" s="1"/>
  <c r="AC301" i="4"/>
  <c r="AC289" i="4"/>
  <c r="AI144" i="4"/>
  <c r="AI12" i="4"/>
  <c r="AI367" i="4"/>
  <c r="AI363" i="4"/>
  <c r="AD300" i="4" l="1"/>
  <c r="AD294" i="4"/>
  <c r="AJ359" i="4"/>
  <c r="AJ358" i="4" s="1"/>
  <c r="AJ148" i="4"/>
  <c r="AJ156" i="4"/>
  <c r="AI375" i="4"/>
  <c r="AJ339" i="4"/>
  <c r="AI13" i="4"/>
  <c r="AJ347" i="4"/>
  <c r="AJ340" i="4" s="1"/>
  <c r="AJ143" i="4"/>
  <c r="AJ161" i="4"/>
  <c r="AJ12" i="4" l="1"/>
  <c r="AJ144" i="4"/>
  <c r="AJ146" i="4"/>
  <c r="AJ367" i="4"/>
  <c r="AJ363" i="4"/>
  <c r="AJ387" i="4"/>
  <c r="AJ386" i="4" s="1"/>
  <c r="AK159" i="4"/>
  <c r="AK157" i="4"/>
  <c r="AD299" i="4"/>
  <c r="AE291" i="4"/>
  <c r="AD376" i="4" l="1"/>
  <c r="AD373" i="4" s="1"/>
  <c r="AD371" i="4" s="1"/>
  <c r="AD289" i="4"/>
  <c r="AD301" i="4"/>
  <c r="AJ375" i="4"/>
  <c r="AK339" i="4"/>
  <c r="AJ13" i="4"/>
  <c r="AJ383" i="4"/>
  <c r="AJ381" i="4" s="1"/>
  <c r="AJ379" i="4" s="1"/>
  <c r="AE295" i="4"/>
  <c r="AE290" i="4"/>
  <c r="AK140" i="4"/>
  <c r="AK160" i="4"/>
  <c r="AK161" i="4" s="1"/>
  <c r="AK387" i="4" l="1"/>
  <c r="AK386" i="4" s="1"/>
  <c r="AL159" i="4"/>
  <c r="AL157" i="4"/>
  <c r="AK347" i="4"/>
  <c r="AK340" i="4" s="1"/>
  <c r="AK143" i="4"/>
  <c r="AE300" i="4"/>
  <c r="AE294" i="4"/>
  <c r="AK367" i="4"/>
  <c r="AK363" i="4"/>
  <c r="AK148" i="4"/>
  <c r="AK359" i="4"/>
  <c r="AK358" i="4" s="1"/>
  <c r="AK156" i="4"/>
  <c r="AE299" i="4" l="1"/>
  <c r="AF291" i="4"/>
  <c r="AK375" i="4"/>
  <c r="AL339" i="4"/>
  <c r="AK13" i="4"/>
  <c r="AL140" i="4"/>
  <c r="AL160" i="4"/>
  <c r="AK144" i="4"/>
  <c r="AK12" i="4"/>
  <c r="AK146" i="4"/>
  <c r="AK383" i="4" l="1"/>
  <c r="AK381" i="4" s="1"/>
  <c r="AK379" i="4" s="1"/>
  <c r="AL347" i="4"/>
  <c r="AL340" i="4" s="1"/>
  <c r="AL143" i="4"/>
  <c r="AL146" i="4" s="1"/>
  <c r="AL359" i="4"/>
  <c r="AL358" i="4" s="1"/>
  <c r="AL367" i="4" s="1"/>
  <c r="AL148" i="4"/>
  <c r="AL156" i="4"/>
  <c r="AL363" i="4"/>
  <c r="AL161" i="4"/>
  <c r="AF295" i="4"/>
  <c r="AF290" i="4"/>
  <c r="AE376" i="4"/>
  <c r="AE373" i="4" s="1"/>
  <c r="AE371" i="4" s="1"/>
  <c r="AE301" i="4"/>
  <c r="AE289" i="4"/>
  <c r="AL375" i="4" l="1"/>
  <c r="AM339" i="4"/>
  <c r="AL13" i="4"/>
  <c r="AL383" i="4"/>
  <c r="AL381" i="4" s="1"/>
  <c r="AL387" i="4"/>
  <c r="AL386" i="4" s="1"/>
  <c r="AM159" i="4"/>
  <c r="AM157" i="4"/>
  <c r="AF300" i="4"/>
  <c r="AF294" i="4"/>
  <c r="AL144" i="4"/>
  <c r="AL12" i="4"/>
  <c r="AF299" i="4" l="1"/>
  <c r="AG291" i="4"/>
  <c r="AM140" i="4"/>
  <c r="AM160" i="4"/>
  <c r="AL379" i="4"/>
  <c r="AG295" i="4" l="1"/>
  <c r="AG290" i="4"/>
  <c r="AM347" i="4"/>
  <c r="AM340" i="4" s="1"/>
  <c r="AM143" i="4"/>
  <c r="AM359" i="4"/>
  <c r="AM358" i="4" s="1"/>
  <c r="AM148" i="4"/>
  <c r="AM156" i="4"/>
  <c r="AF376" i="4"/>
  <c r="AF373" i="4" s="1"/>
  <c r="AF371" i="4" s="1"/>
  <c r="AF301" i="4"/>
  <c r="AF289" i="4"/>
  <c r="AM161" i="4"/>
  <c r="AM387" i="4" s="1"/>
  <c r="AM386" i="4" s="1"/>
  <c r="AM144" i="4" l="1"/>
  <c r="AM12" i="4"/>
  <c r="AM146" i="4"/>
  <c r="AM383" i="4" s="1"/>
  <c r="AM381" i="4" s="1"/>
  <c r="AM379" i="4" s="1"/>
  <c r="AM367" i="4"/>
  <c r="AM363" i="4"/>
  <c r="AG300" i="4"/>
  <c r="AG294" i="4"/>
  <c r="AG299" i="4" l="1"/>
  <c r="AH291" i="4"/>
  <c r="AM375" i="4"/>
  <c r="AM13" i="4"/>
  <c r="AH295" i="4" l="1"/>
  <c r="AH290" i="4"/>
  <c r="AG376" i="4"/>
  <c r="AG373" i="4" s="1"/>
  <c r="AG371" i="4" s="1"/>
  <c r="AG301" i="4"/>
  <c r="AG289" i="4"/>
  <c r="AH294" i="4" l="1"/>
  <c r="AH300" i="4"/>
  <c r="AI291" i="4" l="1"/>
  <c r="AH299" i="4"/>
  <c r="AH376" i="4" l="1"/>
  <c r="AH373" i="4" s="1"/>
  <c r="AH371" i="4" s="1"/>
  <c r="AH301" i="4"/>
  <c r="AH289" i="4"/>
  <c r="AI295" i="4"/>
  <c r="AI290" i="4"/>
  <c r="AI294" i="4" l="1"/>
  <c r="AI300" i="4"/>
  <c r="AJ291" i="4" l="1"/>
  <c r="AI299" i="4"/>
  <c r="AI376" i="4" l="1"/>
  <c r="AI373" i="4" s="1"/>
  <c r="AI371" i="4" s="1"/>
  <c r="AI301" i="4"/>
  <c r="AI289" i="4"/>
  <c r="AJ295" i="4"/>
  <c r="AJ290" i="4"/>
  <c r="AJ294" i="4" l="1"/>
  <c r="AJ300" i="4"/>
  <c r="AK291" i="4" l="1"/>
  <c r="AJ299" i="4"/>
  <c r="AJ376" i="4" l="1"/>
  <c r="AJ373" i="4" s="1"/>
  <c r="AJ371" i="4" s="1"/>
  <c r="AJ301" i="4"/>
  <c r="AJ289" i="4"/>
  <c r="AK295" i="4"/>
  <c r="AK290" i="4"/>
  <c r="AK294" i="4" l="1"/>
  <c r="AK300" i="4"/>
  <c r="AL291" i="4" l="1"/>
  <c r="AK299" i="4"/>
  <c r="AK376" i="4" l="1"/>
  <c r="AK373" i="4" s="1"/>
  <c r="AK371" i="4" s="1"/>
  <c r="AK301" i="4"/>
  <c r="AK289" i="4"/>
  <c r="AL290" i="4"/>
  <c r="AL295" i="4"/>
  <c r="AL294" i="4" l="1"/>
  <c r="AL300" i="4"/>
  <c r="AM291" i="4" l="1"/>
  <c r="AL299" i="4"/>
  <c r="AL376" i="4" l="1"/>
  <c r="AL373" i="4" s="1"/>
  <c r="AL371" i="4" s="1"/>
  <c r="AL301" i="4"/>
  <c r="AL289" i="4"/>
  <c r="AM290" i="4"/>
  <c r="AM295" i="4"/>
  <c r="AM294" i="4" l="1"/>
  <c r="AM300" i="4"/>
  <c r="AM299" i="4" s="1"/>
  <c r="AM376" i="4" s="1"/>
  <c r="AM373" i="4" s="1"/>
  <c r="AM371" i="4" s="1"/>
  <c r="AM301" i="4"/>
  <c r="AM289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B470" authorId="0" shapeId="0" xr:uid="{00000000-0006-0000-0000-000004000000}">
      <text>
        <r>
          <rPr>
            <sz val="10"/>
            <color rgb="FF000000"/>
            <rFont val="Arial"/>
            <scheme val="minor"/>
          </rPr>
          <t>Показывает, какая часть активов финансируется за счет устойчивых источников</t>
        </r>
      </text>
    </comment>
    <comment ref="B471" authorId="0" shapeId="0" xr:uid="{00000000-0006-0000-0000-000003000000}">
      <text>
        <r>
          <rPr>
            <sz val="10"/>
            <color rgb="FF000000"/>
            <rFont val="Arial"/>
            <scheme val="minor"/>
          </rPr>
          <t>Показывает удельный вес собственных средств в общей сумме источников финансирования.</t>
        </r>
      </text>
    </comment>
    <comment ref="B472" authorId="0" shapeId="0" xr:uid="{00000000-0006-0000-0000-000002000000}">
      <text>
        <r>
          <rPr>
            <sz val="10"/>
            <color rgb="FF000000"/>
            <rFont val="Arial"/>
            <scheme val="minor"/>
          </rPr>
          <t xml:space="preserve">Показывает сколько приносит каждый вложенный рубль собственных средств прибыли
</t>
        </r>
      </text>
    </comment>
    <comment ref="B473" authorId="0" shapeId="0" xr:uid="{00000000-0006-0000-0000-000001000000}">
      <text>
        <r>
          <rPr>
            <sz val="10"/>
            <color rgb="FF000000"/>
            <rFont val="Arial"/>
            <scheme val="minor"/>
          </rPr>
          <t>Показывает сколько приносит каждый рубль активов прибыли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B393" authorId="0" shapeId="0" xr:uid="{00000000-0006-0000-0300-000004000000}">
      <text>
        <r>
          <rPr>
            <sz val="10"/>
            <color rgb="FF000000"/>
            <rFont val="Arial"/>
            <scheme val="minor"/>
          </rPr>
          <t>Показывает, какая часть активов финансируется за счет устойчивых источников</t>
        </r>
      </text>
    </comment>
    <comment ref="B394" authorId="0" shapeId="0" xr:uid="{00000000-0006-0000-0300-000003000000}">
      <text>
        <r>
          <rPr>
            <sz val="10"/>
            <color rgb="FF000000"/>
            <rFont val="Arial"/>
            <scheme val="minor"/>
          </rPr>
          <t>Показывает удельный вес собственных средств в общей сумме источников финансирования.</t>
        </r>
      </text>
    </comment>
    <comment ref="B395" authorId="0" shapeId="0" xr:uid="{00000000-0006-0000-0300-000002000000}">
      <text>
        <r>
          <rPr>
            <sz val="10"/>
            <color rgb="FF000000"/>
            <rFont val="Arial"/>
            <scheme val="minor"/>
          </rPr>
          <t xml:space="preserve">Показывает сколько приносит каждый вложенный рубль собственных средств прибыли
</t>
        </r>
      </text>
    </comment>
    <comment ref="B396" authorId="0" shapeId="0" xr:uid="{00000000-0006-0000-0300-000001000000}">
      <text>
        <r>
          <rPr>
            <sz val="10"/>
            <color rgb="FF000000"/>
            <rFont val="Arial"/>
            <scheme val="minor"/>
          </rPr>
          <t>Показывает сколько приносит каждый рубль активов прибыли</t>
        </r>
      </text>
    </comment>
  </commentList>
</comments>
</file>

<file path=xl/sharedStrings.xml><?xml version="1.0" encoding="utf-8"?>
<sst xmlns="http://schemas.openxmlformats.org/spreadsheetml/2006/main" count="1805" uniqueCount="442">
  <si>
    <t>К заполнению только желтые ячейки!</t>
  </si>
  <si>
    <t>Отклонение</t>
  </si>
  <si>
    <t>В процентах</t>
  </si>
  <si>
    <t>Выручка за год</t>
  </si>
  <si>
    <t>Чистая прибыль за год</t>
  </si>
  <si>
    <t>Деньги</t>
  </si>
  <si>
    <t>Размер собственного капитала на конец периода</t>
  </si>
  <si>
    <t>ROE (Рентабельность собственного капитала) годовая</t>
  </si>
  <si>
    <t>Аналитика</t>
  </si>
  <si>
    <t>2025</t>
  </si>
  <si>
    <t>2026</t>
  </si>
  <si>
    <t>2027</t>
  </si>
  <si>
    <t>Отвеств.</t>
  </si>
  <si>
    <t>период —</t>
  </si>
  <si>
    <t>Октябрь</t>
  </si>
  <si>
    <t>Ноябрь</t>
  </si>
  <si>
    <t>Декабрь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</si>
  <si>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</si>
  <si>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</si>
  <si>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</si>
  <si>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</si>
  <si>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</si>
  <si>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</si>
  <si>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</si>
  <si>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</si>
  <si>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</si>
  <si>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 xml:space="preserve">Ноябрь </t>
  </si>
  <si>
    <t>1. Выручка</t>
  </si>
  <si>
    <t>2. Точка Безубыточности</t>
  </si>
  <si>
    <t>3. Чистая прибыль</t>
  </si>
  <si>
    <t>4. Деньги на конец месяца</t>
  </si>
  <si>
    <t>Выручка</t>
  </si>
  <si>
    <t>Интернет-магазин</t>
  </si>
  <si>
    <t>Коэффициент спроса</t>
  </si>
  <si>
    <t>База</t>
  </si>
  <si>
    <t>Переход в карточку</t>
  </si>
  <si>
    <t>CV 1</t>
  </si>
  <si>
    <t>Положили в корзину</t>
  </si>
  <si>
    <t>CV 2</t>
  </si>
  <si>
    <t>Оформили заказ</t>
  </si>
  <si>
    <t>CV 3</t>
  </si>
  <si>
    <t>Купили, шт</t>
  </si>
  <si>
    <t>Постоянные Клиенты</t>
  </si>
  <si>
    <t>Итого купили</t>
  </si>
  <si>
    <t>Средний чек</t>
  </si>
  <si>
    <t>Маски</t>
  </si>
  <si>
    <t>Летуаль</t>
  </si>
  <si>
    <t>Аптеки Плюс</t>
  </si>
  <si>
    <t>Переменные расходы</t>
  </si>
  <si>
    <t>Переменные расходы Интернет-магазин</t>
  </si>
  <si>
    <t>Комиссия (эквайринг+польз.системой)</t>
  </si>
  <si>
    <t>Себестоимость товара</t>
  </si>
  <si>
    <t xml:space="preserve">Логистика </t>
  </si>
  <si>
    <t>Расход</t>
  </si>
  <si>
    <t>Упаковка</t>
  </si>
  <si>
    <t>Переменные расходы Летуаль</t>
  </si>
  <si>
    <t xml:space="preserve">Комиссия </t>
  </si>
  <si>
    <t>Эквайринг</t>
  </si>
  <si>
    <t>Переменные расходы АптекиПлюс</t>
  </si>
  <si>
    <t>Маржинальная прибыль</t>
  </si>
  <si>
    <t>Рентабельность по маржинальной прибыли, %</t>
  </si>
  <si>
    <t>Маржинальная прибыль интернет-магазин</t>
  </si>
  <si>
    <t>Маржинальная прибыль Летуаль</t>
  </si>
  <si>
    <t>Маржинальная прибыль  Аптеки-плюс</t>
  </si>
  <si>
    <t>Прямые постоянные расходы</t>
  </si>
  <si>
    <t>Реклама и продвижение</t>
  </si>
  <si>
    <t>ДРР, % (доля рекламных расходов)</t>
  </si>
  <si>
    <t>Склад</t>
  </si>
  <si>
    <t>Коэффицент к цене 1 шт</t>
  </si>
  <si>
    <t>Количество продаж шт</t>
  </si>
  <si>
    <t>Общепроизводственные расходы</t>
  </si>
  <si>
    <t>Доставка по РФ до склада</t>
  </si>
  <si>
    <t xml:space="preserve">Валовая прибыль </t>
  </si>
  <si>
    <t>Рентабельность по валовой прибыли, %</t>
  </si>
  <si>
    <t>Косвенные расходы</t>
  </si>
  <si>
    <t>Косвенные  административные</t>
  </si>
  <si>
    <t>ФОТ офис</t>
  </si>
  <si>
    <t>ПО (1с, CRM)</t>
  </si>
  <si>
    <t>Банковская комиссия и РКО</t>
  </si>
  <si>
    <t>Прочие расходы</t>
  </si>
  <si>
    <t>Косвенные  коммерческие</t>
  </si>
  <si>
    <t>Дизайн, фотограф</t>
  </si>
  <si>
    <t>Операционная прибыль (EBITDA)</t>
  </si>
  <si>
    <t>Рентабельность по операционной прибыли, %</t>
  </si>
  <si>
    <t>Налог УСН+фикс.ИП</t>
  </si>
  <si>
    <t>Справочно - расчет 6% УСН</t>
  </si>
  <si>
    <t>Проценты по кредитам</t>
  </si>
  <si>
    <t>НДС</t>
  </si>
  <si>
    <t>Чистая прибыль</t>
  </si>
  <si>
    <t>Рентабельность по чистой прибыли, %</t>
  </si>
  <si>
    <t>ЧП накопленным итогом</t>
  </si>
  <si>
    <t>Финансовая деятельность</t>
  </si>
  <si>
    <t>Название банка</t>
  </si>
  <si>
    <t>Тело кредита на начало периода</t>
  </si>
  <si>
    <t>Ежемесячный платеж</t>
  </si>
  <si>
    <t>Проценты по кредиту по ставке</t>
  </si>
  <si>
    <t>Гашение тела кредита</t>
  </si>
  <si>
    <t>Тело кредита на конец периода</t>
  </si>
  <si>
    <t>Инвестиционная деятельность</t>
  </si>
  <si>
    <t>Вложения от собственника</t>
  </si>
  <si>
    <t xml:space="preserve">Сумма купленного ОС </t>
  </si>
  <si>
    <t>Сумма ежемесечной амортизации</t>
  </si>
  <si>
    <t>Основные средства на начальный период</t>
  </si>
  <si>
    <t>Основные средства на конечный период</t>
  </si>
  <si>
    <t xml:space="preserve">Срок полезного использования ОС, в мес. </t>
  </si>
  <si>
    <t>Оборотный капитал</t>
  </si>
  <si>
    <t>Изменение оборотного капитала</t>
  </si>
  <si>
    <t>Себестоимость (информативно)</t>
  </si>
  <si>
    <t>Запасы</t>
  </si>
  <si>
    <t>Период оборота запасов, дн</t>
  </si>
  <si>
    <t>Запасы на начало месяца</t>
  </si>
  <si>
    <t>Запасы на конец месяца</t>
  </si>
  <si>
    <t>Изменение запасов</t>
  </si>
  <si>
    <t>Дебиторская задолженность /авансы поставщикам</t>
  </si>
  <si>
    <t>Период оборота ДЗ, дн</t>
  </si>
  <si>
    <t>ДЗ на начало месяца</t>
  </si>
  <si>
    <t>ДЗ на конец месяца</t>
  </si>
  <si>
    <t>Изменение ДЗ</t>
  </si>
  <si>
    <t>Кредиторская задолженность</t>
  </si>
  <si>
    <t>Период оборота КЗ, дн</t>
  </si>
  <si>
    <t>КЗ на начало месяца</t>
  </si>
  <si>
    <t>КЗ на конец месяца</t>
  </si>
  <si>
    <t>Изменение КЗ</t>
  </si>
  <si>
    <t>ДДС</t>
  </si>
  <si>
    <t>Деньги на начало месяца</t>
  </si>
  <si>
    <t>Денежный поток по операционной деятельности</t>
  </si>
  <si>
    <t>Денежный поток по финансовой деятельности</t>
  </si>
  <si>
    <t>Денежный поток по инвестиционной деятельности</t>
  </si>
  <si>
    <t>Чистый денежный поток</t>
  </si>
  <si>
    <t>Деньги на конец месяца</t>
  </si>
  <si>
    <t>Дивиденды</t>
  </si>
  <si>
    <t>Баланс</t>
  </si>
  <si>
    <t>Активы</t>
  </si>
  <si>
    <t>Основные средства</t>
  </si>
  <si>
    <t>Дебиторская задолженность</t>
  </si>
  <si>
    <t>Пассивы</t>
  </si>
  <si>
    <t>Собственный капитал</t>
  </si>
  <si>
    <t>Уставной капитал</t>
  </si>
  <si>
    <t>Накопленная прибыль</t>
  </si>
  <si>
    <t>Обязательства</t>
  </si>
  <si>
    <t>Кредиты и займы</t>
  </si>
  <si>
    <t>Показатели</t>
  </si>
  <si>
    <t>Норма</t>
  </si>
  <si>
    <t>Текущая ликвидность</t>
  </si>
  <si>
    <t>Абсолютная ликвидность</t>
  </si>
  <si>
    <t>Финансовая устойчивость</t>
  </si>
  <si>
    <t>Финансовая независимость</t>
  </si>
  <si>
    <t>Рентабельность собственного капитала</t>
  </si>
  <si>
    <t>Рентабельность Активов по чистой прибыли</t>
  </si>
  <si>
    <t>Обрачиваемость запасов в днях</t>
  </si>
  <si>
    <t>Выручка для НДС</t>
  </si>
  <si>
    <t>Расходы для НДС</t>
  </si>
  <si>
    <t>НДС с продаж</t>
  </si>
  <si>
    <t>НДС с покупок</t>
  </si>
  <si>
    <t>НДС 22%</t>
  </si>
  <si>
    <t>НДС 5%</t>
  </si>
  <si>
    <t>НДС 7%</t>
  </si>
  <si>
    <t>2023</t>
  </si>
  <si>
    <t>2024</t>
  </si>
  <si>
    <t>ИТОГО</t>
  </si>
  <si>
    <t>Операционная деятельность</t>
  </si>
  <si>
    <t>Поступление от МП</t>
  </si>
  <si>
    <t>Закуп товара</t>
  </si>
  <si>
    <t>ФФ</t>
  </si>
  <si>
    <t>Раразботка, лабаратории</t>
  </si>
  <si>
    <t>Транспортные, логистика</t>
  </si>
  <si>
    <t>Реклама</t>
  </si>
  <si>
    <t>Зарплата</t>
  </si>
  <si>
    <t>ПО</t>
  </si>
  <si>
    <t>Дизайн. фото</t>
  </si>
  <si>
    <t>Банковский расходы</t>
  </si>
  <si>
    <t>ЗП</t>
  </si>
  <si>
    <t>Оплата бухсистемы</t>
  </si>
  <si>
    <t>Упаковка, этикетки</t>
  </si>
  <si>
    <t>Разработка рецептуры сыворотки</t>
  </si>
  <si>
    <t>Налоги</t>
  </si>
  <si>
    <t>Прочие</t>
  </si>
  <si>
    <t>Регистрация, сертификация, товарный знак</t>
  </si>
  <si>
    <t>Перевод собств.средств</t>
  </si>
  <si>
    <t>Аренда</t>
  </si>
  <si>
    <t>Возврат</t>
  </si>
  <si>
    <t>Займ</t>
  </si>
  <si>
    <t>Инвестиции</t>
  </si>
  <si>
    <t>Возврат займов</t>
  </si>
  <si>
    <t>Вывод прибыли</t>
  </si>
  <si>
    <t>Погашение кредита</t>
  </si>
  <si>
    <t>Детализация расходов МП</t>
  </si>
  <si>
    <t>Год</t>
  </si>
  <si>
    <t>Сумма заказов по розничным ценам с учётом согласованной скидки, руб.</t>
  </si>
  <si>
    <t>Заказано, шт.</t>
  </si>
  <si>
    <t>Количество заказов</t>
  </si>
  <si>
    <t>Сумма продаж по розничным ценам с учётом согласованной скидки, руб.</t>
  </si>
  <si>
    <t>Выкупили, шт.</t>
  </si>
  <si>
    <t>Коэффициент наценки продаж по оплатам</t>
  </si>
  <si>
    <t>Процент выкупа</t>
  </si>
  <si>
    <t>Оборачиваемость, дней</t>
  </si>
  <si>
    <t>К перечислению за товар, руб.</t>
  </si>
  <si>
    <t>Стоимость логистики, руб.</t>
  </si>
  <si>
    <t>Стоимость хранения, руб.</t>
  </si>
  <si>
    <t>Штрафы, руб.</t>
  </si>
  <si>
    <t>Доплаты, руб.</t>
  </si>
  <si>
    <t>Компенсация ущерба, руб.</t>
  </si>
  <si>
    <t>Добровольная компенсация при возврате, руб.</t>
  </si>
  <si>
    <t>Приемка, руб.</t>
  </si>
  <si>
    <t>Итого к перечислению, руб.</t>
  </si>
  <si>
    <t>Реклама на МП</t>
  </si>
  <si>
    <t>243 437</t>
  </si>
  <si>
    <t>Вклад инвесторов</t>
  </si>
  <si>
    <t>Долги</t>
  </si>
  <si>
    <t>Реинвест</t>
  </si>
  <si>
    <t>Сделать цвета для заполнения</t>
  </si>
  <si>
    <t>Фартуки</t>
  </si>
  <si>
    <t>Запасы на начало месяца, руб.</t>
  </si>
  <si>
    <t>Запасы на начало месяца, шт.</t>
  </si>
  <si>
    <t>Купили шт.</t>
  </si>
  <si>
    <t>Списано в с/с</t>
  </si>
  <si>
    <t>Запасы после продажи, руб.</t>
  </si>
  <si>
    <t>Запасы после продажи, шт.</t>
  </si>
  <si>
    <t>Новая поставка, руб.</t>
  </si>
  <si>
    <t>Поставка, шт.</t>
  </si>
  <si>
    <t>Цена закупа</t>
  </si>
  <si>
    <t>Запасы на конец месяца, руб.</t>
  </si>
  <si>
    <t>Запасы на конец месяца, шт.</t>
  </si>
  <si>
    <t>Салфетки 2 шт.</t>
  </si>
  <si>
    <t>Салфетки 5 шт.</t>
  </si>
  <si>
    <r>
      <rPr>
        <b/>
        <sz val="12"/>
        <color theme="1"/>
        <rFont val="Source Sans Pro"/>
      </rPr>
      <t xml:space="preserve">Салфетки </t>
    </r>
    <r>
      <rPr>
        <b/>
        <sz val="12"/>
        <color rgb="FFFF0000"/>
        <rFont val="Source Sans Pro"/>
      </rPr>
      <t>new!</t>
    </r>
  </si>
  <si>
    <t>Списание в с/с</t>
  </si>
  <si>
    <t>Запасы после продажи</t>
  </si>
  <si>
    <t>Новая поставка, ед.</t>
  </si>
  <si>
    <t>Цена закупки</t>
  </si>
  <si>
    <t>Новая поставка итог</t>
  </si>
  <si>
    <t>Дебиторская задолженность /маркетплейсы</t>
  </si>
  <si>
    <r>
      <rPr>
        <b/>
        <sz val="12"/>
        <color theme="1"/>
        <rFont val="Source Sans Pro"/>
      </rPr>
      <t xml:space="preserve">Январь </t>
    </r>
    <r>
      <rPr>
        <sz val="10"/>
        <color theme="1"/>
        <rFont val="Source Sans Pro"/>
      </rPr>
      <t>факт</t>
    </r>
  </si>
  <si>
    <r>
      <rPr>
        <b/>
        <sz val="12"/>
        <color theme="1"/>
        <rFont val="Source Sans Pro"/>
      </rPr>
      <t xml:space="preserve">Февраль </t>
    </r>
    <r>
      <rPr>
        <sz val="10"/>
        <color theme="1"/>
        <rFont val="Source Sans Pro"/>
      </rPr>
      <t>факт</t>
    </r>
  </si>
  <si>
    <r>
      <rPr>
        <b/>
        <sz val="12"/>
        <color theme="1"/>
        <rFont val="Source Sans Pro"/>
      </rPr>
      <t xml:space="preserve">Март </t>
    </r>
    <r>
      <rPr>
        <sz val="10"/>
        <color theme="1"/>
        <rFont val="Source Sans Pro"/>
      </rPr>
      <t>факт</t>
    </r>
  </si>
  <si>
    <t>Фартуки. Воронка продаж</t>
  </si>
  <si>
    <t>Средний чек (факт)</t>
  </si>
  <si>
    <t>Выручка после СПП (указать долю СПП)</t>
  </si>
  <si>
    <t>Салфетки. Воронка продаж 2 шт.</t>
  </si>
  <si>
    <t>Салфетки. Воронка продаж 5 шт.</t>
  </si>
  <si>
    <r>
      <rPr>
        <b/>
        <sz val="12"/>
        <color theme="1"/>
        <rFont val="Source Sans Pro"/>
      </rPr>
      <t xml:space="preserve">Салфетки 2шт </t>
    </r>
    <r>
      <rPr>
        <b/>
        <sz val="12"/>
        <color rgb="FFFF0000"/>
        <rFont val="Source Sans Pro"/>
      </rPr>
      <t xml:space="preserve">кредит! </t>
    </r>
    <r>
      <rPr>
        <b/>
        <sz val="12"/>
        <color theme="1"/>
        <rFont val="Source Sans Pro"/>
      </rPr>
      <t>Воронка продаж</t>
    </r>
  </si>
  <si>
    <t>Стоимость 1 просмотра</t>
  </si>
  <si>
    <t>Переменные расходы. Фартуки</t>
  </si>
  <si>
    <t>Комиссия маркетплейса</t>
  </si>
  <si>
    <t>Логистика маркетплейса, ед.</t>
  </si>
  <si>
    <t>Эквайринг маркетплейса</t>
  </si>
  <si>
    <t>Услуги фулфилмента, ед.</t>
  </si>
  <si>
    <t xml:space="preserve">Упаковка </t>
  </si>
  <si>
    <t>Переменные расходы. Салфетки 2 шт.</t>
  </si>
  <si>
    <t>Себестоимость товара 55</t>
  </si>
  <si>
    <t>Переменные расходы. Салфетки 5 шт.</t>
  </si>
  <si>
    <t>Себестоимость товара -10%</t>
  </si>
  <si>
    <r>
      <rPr>
        <b/>
        <sz val="12"/>
        <color rgb="FF000000"/>
        <rFont val="Source Sans Pro"/>
      </rPr>
      <t xml:space="preserve">Переменные расходы. Салфетки </t>
    </r>
    <r>
      <rPr>
        <b/>
        <sz val="12"/>
        <color rgb="FFFF0000"/>
        <rFont val="Source Sans Pro"/>
      </rPr>
      <t>new!</t>
    </r>
  </si>
  <si>
    <t>Логистика маркетплейса</t>
  </si>
  <si>
    <t>Маржинальная прибыль фартуки</t>
  </si>
  <si>
    <t>Маржинальная прибыль салфетки 2 шт.</t>
  </si>
  <si>
    <t>Маржинальная прибыль  салфетки 5 шт.</t>
  </si>
  <si>
    <t>Продвижение на маркетплейсе</t>
  </si>
  <si>
    <t>ДРР, % (фартуки)</t>
  </si>
  <si>
    <t>Хранение (размещение)</t>
  </si>
  <si>
    <t>Платная приемка</t>
  </si>
  <si>
    <t>Кросс-докинг</t>
  </si>
  <si>
    <t>Штрафы маркетплейсов</t>
  </si>
  <si>
    <t>Упаковочные материалы</t>
  </si>
  <si>
    <t>ФОТ менеджеры</t>
  </si>
  <si>
    <t>Налоги ФОТ менеджеры</t>
  </si>
  <si>
    <t>Доставка из Китая (сидит в себест.)</t>
  </si>
  <si>
    <t>Доставка товара до маркетплейсов</t>
  </si>
  <si>
    <t>Валовая прибыль по маркетплейсам</t>
  </si>
  <si>
    <t>Реклама и продвижение (блогеры) 2+5</t>
  </si>
  <si>
    <t>Реклама на кредитные</t>
  </si>
  <si>
    <t>ДРР, % (салфетки)</t>
  </si>
  <si>
    <t>ДРР, % (салфетки кредитные)</t>
  </si>
  <si>
    <t>Проценты по новому кредиту</t>
  </si>
  <si>
    <t>The Dengi</t>
  </si>
  <si>
    <t>Кредит под залог авто - Тинькофф</t>
  </si>
  <si>
    <t>Кредит наличными - Тинькофф</t>
  </si>
  <si>
    <t>Кредит ОТП Банк</t>
  </si>
  <si>
    <t>Кредит рефинансирование - Сбербанк</t>
  </si>
  <si>
    <t>Кредитная карта Сбербанк</t>
  </si>
  <si>
    <t>Кредитная карта Тинькофф</t>
  </si>
  <si>
    <t>Точка обороты 90 дней</t>
  </si>
  <si>
    <t>Транш</t>
  </si>
  <si>
    <t>Займ Анна</t>
  </si>
  <si>
    <t>Займ Артём</t>
  </si>
  <si>
    <t>Займ Марат 2</t>
  </si>
  <si>
    <t>Займ Константин</t>
  </si>
  <si>
    <t>Займ Артём 2</t>
  </si>
  <si>
    <t>Займ Марат 1</t>
  </si>
  <si>
    <t>Новый кредит Морской Банк</t>
  </si>
  <si>
    <t>Проценты по кредиту по ставке 
(другой проект)</t>
  </si>
  <si>
    <t>Гашение тела кредита (другой проект)</t>
  </si>
  <si>
    <t>заливка для изменений/тестов</t>
  </si>
  <si>
    <t>остаток на ФФ - фартуки 5022, салфетки 6700
остаток на ВБ - фартуки 2409, салфетки 4842</t>
  </si>
  <si>
    <r>
      <rPr>
        <b/>
        <sz val="12"/>
        <color theme="1"/>
        <rFont val="Source Sans Pro"/>
      </rPr>
      <t xml:space="preserve">Салфетки </t>
    </r>
    <r>
      <rPr>
        <b/>
        <sz val="12"/>
        <color rgb="FFFF0000"/>
        <rFont val="Source Sans Pro"/>
      </rPr>
      <t>new кредит</t>
    </r>
  </si>
  <si>
    <t xml:space="preserve">Выручка </t>
  </si>
  <si>
    <t>Прямые расходы</t>
  </si>
  <si>
    <t>Общепроизводственные</t>
  </si>
  <si>
    <t>% по кредитам</t>
  </si>
  <si>
    <t>% новый кредит</t>
  </si>
  <si>
    <t>Комиссия</t>
  </si>
  <si>
    <t>Закуп товара салфетки 2 шт</t>
  </si>
  <si>
    <t>Закуп товара салфетки 5 шт</t>
  </si>
  <si>
    <t>Закуп товара фартуки</t>
  </si>
  <si>
    <t>Закуп товара салфетки 2шт новый кредит</t>
  </si>
  <si>
    <t>Закуп товара салфетки 5шт новый кредит</t>
  </si>
  <si>
    <t>Возврат кредиторской</t>
  </si>
  <si>
    <t>Выплата тела кредита</t>
  </si>
  <si>
    <t>Получение займа</t>
  </si>
  <si>
    <t>новый кредит</t>
  </si>
  <si>
    <t>Вывод на другой проект</t>
  </si>
  <si>
    <t>Сальдо CF</t>
  </si>
  <si>
    <t>Деньги накопленным итогом</t>
  </si>
  <si>
    <t>факт</t>
  </si>
  <si>
    <r>
      <rPr>
        <b/>
        <sz val="10"/>
        <color theme="1"/>
        <rFont val="Arial"/>
      </rPr>
      <t xml:space="preserve">прогноз - среднее за январь-март 2025 
</t>
    </r>
    <r>
      <rPr>
        <i/>
        <sz val="10"/>
        <color theme="1"/>
        <rFont val="Arial"/>
      </rPr>
      <t>по причине отсутвия репрезентативности данных</t>
    </r>
  </si>
  <si>
    <t>Среднее значение</t>
  </si>
  <si>
    <t>Январь 2025</t>
  </si>
  <si>
    <t>Февраль 2025</t>
  </si>
  <si>
    <t>Март 2025</t>
  </si>
  <si>
    <t>Апрель 2025</t>
  </si>
  <si>
    <t>Май 2025</t>
  </si>
  <si>
    <t>Июнь 2025</t>
  </si>
  <si>
    <t>Июль 2025</t>
  </si>
  <si>
    <t>Август 2025</t>
  </si>
  <si>
    <t>Сентябрь 2025</t>
  </si>
  <si>
    <t>Октябрь 2025</t>
  </si>
  <si>
    <t>Ноябрь 2024</t>
  </si>
  <si>
    <t>Декабрь 2024</t>
  </si>
  <si>
    <t>Фартуки, переход в карточку</t>
  </si>
  <si>
    <t>Коэф.спроса</t>
  </si>
  <si>
    <t>Салфетки 2 шт., переход в карточку</t>
  </si>
  <si>
    <t>Салфетки 5 шт., переход в карточку</t>
  </si>
  <si>
    <t>* по фартукам для рассчета средне не берется март, т.к. в этом месяце высокий коэффицент сезонности. Прогноз апрель 2025-октябрь 2024 выстраивается как среднее ( январь 2025 + февраль 2025 + ноябрь 2025 )
По салфеткам в летний период ожидается повышенный спрос, поэтому значение с учетом марта</t>
  </si>
  <si>
    <t>Воронка продаж</t>
  </si>
  <si>
    <t>c апреля по декабрь - прогнозная воронка</t>
  </si>
  <si>
    <t>Среднее значение для ФМ</t>
  </si>
  <si>
    <t>Ноябрь 2025</t>
  </si>
  <si>
    <t>Декабрь 2025</t>
  </si>
  <si>
    <t>CV Клик-Заказ</t>
  </si>
  <si>
    <t>Оборачиваемость запасов</t>
  </si>
  <si>
    <t>Кол-во дней периода</t>
  </si>
  <si>
    <r>
      <rPr>
        <b/>
        <sz val="10"/>
        <color theme="1"/>
        <rFont val="Arial"/>
      </rPr>
      <t xml:space="preserve">прогноз - среднее за январь-март 2025 
</t>
    </r>
    <r>
      <rPr>
        <i/>
        <sz val="10"/>
        <color theme="1"/>
        <rFont val="Arial"/>
      </rPr>
      <t xml:space="preserve">по причине отсутвия репрезентативности данных </t>
    </r>
  </si>
  <si>
    <t>Средняя себестоимость</t>
  </si>
  <si>
    <t>Апрель 2024</t>
  </si>
  <si>
    <t>Май 2024</t>
  </si>
  <si>
    <t>Июнь 2024</t>
  </si>
  <si>
    <t>Июль 2024</t>
  </si>
  <si>
    <t>Август 2024</t>
  </si>
  <si>
    <t>Сентябрь 2024</t>
  </si>
  <si>
    <t>Октябрь 2024</t>
  </si>
  <si>
    <t>Средние запасы</t>
  </si>
  <si>
    <t>Оборачиваемость дебиторской задолженности</t>
  </si>
  <si>
    <t>кол-во дней периода</t>
  </si>
  <si>
    <t>себестоимость</t>
  </si>
  <si>
    <t>средняя ДЗ</t>
  </si>
  <si>
    <t>Период обрачиваемости</t>
  </si>
  <si>
    <t>Оборачиваемость кредиторской задолженности</t>
  </si>
  <si>
    <t>выручка</t>
  </si>
  <si>
    <t>средняя КЗ</t>
  </si>
  <si>
    <t>Аналитическая записка к финмодели ***</t>
  </si>
  <si>
    <t>Что такое финмодель?</t>
  </si>
  <si>
    <r>
      <rPr>
        <b/>
        <sz val="12"/>
        <color theme="1"/>
        <rFont val="Arial"/>
      </rPr>
      <t>Финмодель</t>
    </r>
    <r>
      <rPr>
        <sz val="12"/>
        <color theme="1"/>
        <rFont val="Arial"/>
      </rPr>
      <t xml:space="preserve"> - это план действий всех сфер вашей деятельности. Это большая таблица со связями и параметрами, чтобы проигрывать разные сценарии вашей будущей деятельности.</t>
    </r>
  </si>
  <si>
    <t>Ожидания:</t>
  </si>
  <si>
    <t>Результат:</t>
  </si>
  <si>
    <t xml:space="preserve">Что мы сделали не правильно? </t>
  </si>
  <si>
    <t>Как будем жить если из расходов исключить маркетплейс?</t>
  </si>
  <si>
    <t>Выручка — это сумма закрытых обязательств. В финансовой модели указывается без НДС.
Закрытые обязательства — это сумма отгруженных товаров или оказанных услуг, в соответствии с выставленными документами: накладными, актами, УПД.</t>
  </si>
  <si>
    <t>Выручка в модели рассчитывается по 3 направлениям:</t>
  </si>
  <si>
    <t>Интернет-магазин, Летуаль, Аптеки</t>
  </si>
  <si>
    <t>Воронки продаж</t>
  </si>
  <si>
    <t xml:space="preserve">Воронка продаж — это этапы, которые проходит клиент от первого касания с компанией до покупки. </t>
  </si>
  <si>
    <t>Расходы, которые меняются пропорционально выручке.</t>
  </si>
  <si>
    <t>В модели переменные расходы состоят из себестоимости, комиссии, логистики, эквайринга, упаковки</t>
  </si>
  <si>
    <t>Маржинальный доход</t>
  </si>
  <si>
    <t>Это выручка за вычетом переменных расходов.</t>
  </si>
  <si>
    <t>Расходы, которые не зависят от выручки, но связаны с оказанием услуги напрямую.</t>
  </si>
  <si>
    <t>В данной финмодели отсутсвуют</t>
  </si>
  <si>
    <t>Валовая прибыль</t>
  </si>
  <si>
    <t>Маржинальный доход, за вычетом затрат на производство услуги.
Является одним из показателей эффективности.</t>
  </si>
  <si>
    <t>Постоянные расходы</t>
  </si>
  <si>
    <t>Расходы, которые компания несёт независимо от того, сколько денег она зарабатывает. 
Эти расходы не зависят от выручки. Делятся на две категории:</t>
  </si>
  <si>
    <t>Административные расходы</t>
  </si>
  <si>
    <t>Коммерческие расходы</t>
  </si>
  <si>
    <t>Операционная прибыль EBITDA</t>
  </si>
  <si>
    <t>Показывает насколько прибылен бизнес до уплаты налогов, начисления амортизации и уплаты процентов по займам и кредитам.
Рентабельность по операционной прибыли: отношение операционной прибыли к выручке.</t>
  </si>
  <si>
    <t>Амортизация</t>
  </si>
  <si>
    <t>Постепенное списание стоимости имущества (в процессе использования или устаревания)
Рассчитывается как стоимость имущества, разделенная на её срок полезного использования.</t>
  </si>
  <si>
    <t>Суммы текущих налогов для уплаты в бюджет государства.</t>
  </si>
  <si>
    <t>В расчёте финмодели участвуют исключительно проценты. Так как это плата за пользование чужими деньгами. 
Тело кредита, проходит по финансовой деятельности. И важно отслеживать, чтобы прибыли хватало для возврата тела кредитов.</t>
  </si>
  <si>
    <t>Чистая прибыль компании за месяц в ходе её основной деятельности.
Показывает то, сколько зарабатывает компания при выполнении своей основной деятельности.</t>
  </si>
  <si>
    <t>У чистой прибыли есть несколько стратегий использования:</t>
  </si>
  <si>
    <t>1. Выплата дивидендов — деньги, которые можно пустить на выплаты собственникам.
2. Инвестиции в развитие — суммы чистой прибыли, которые можно направить на развитие бизнеса и закрытие обязательств.
3. На покрытие будущих возможных рисков компании</t>
  </si>
  <si>
    <t>Важно понимать, что противоположных стратегий нельзя придерживаться одновременно. Есть риск потратить лишнего. 
Направляйте силы на то, чтобы понять, чего вы хотите сделать в ближайшие периоды: вложить в компанию или выплатить бонусы собственникам.</t>
  </si>
  <si>
    <t>Деньги, замороженные в бизнесе.</t>
  </si>
  <si>
    <t xml:space="preserve">Запасы — это стоимость товара, выраженная в закупочных ценах, оставшегося на складах на конец периода.
Оборачиваемость запасов — это количество дней, за которые можно продать все запасы. </t>
  </si>
  <si>
    <t>Дебиторская задолженность (бывает двух видов)</t>
  </si>
  <si>
    <t>Дебиторская задолженность клиентов – это сумма отгруженного товара или оказанных услуг, не оплаченных клиентами.
Период оборачиваемости дебиторской задолженности клиентов – предоставленная клиенту отсрочка в днях.</t>
  </si>
  <si>
    <t>Дебиторская задолженность поставщиков (подрядчиков) – это сумма авансов, оплаченных поставщикам (подрядчикам).
Период оборачиваемости дебиторской задолженности поставщиков – срок поставки товаров (или услуг) с момента предоплаты, в днях.</t>
  </si>
  <si>
    <t>Кредиторская задолженность (бывает двух видов)</t>
  </si>
  <si>
    <t>Кредиторская задолженность клиентов – это сумма авансов, полученных от клиентов за будущие поставки или услуги.
Период оборачиваемости кредиторской задолженности клиентов – это срок поставки вашего товара (или услуг) с момента получения предоплаты, в днях.</t>
  </si>
  <si>
    <t>Кредиторская задолженность перед поставщиками (подрядчиками) – это сумма полученного, но неоплаченного товара или услуги.
Период оборачиваемости кредиторской задолженности перед поставщиками – это срок, на который нам дают отсрочку платежа, в днях.</t>
  </si>
  <si>
    <t>Отчет о движении денег</t>
  </si>
  <si>
    <t>Показывает, хватает ли денег на счетах для выполнения обязательств.</t>
  </si>
  <si>
    <t>Движение денег делится на три вида деятельности</t>
  </si>
  <si>
    <t>1. Операционная деятельность. Затраты и Поступления в ходе основной деятельности: предоставление услуги, производство продукта, поставка товара, привлечение клиентов, зарплаты сотрудников. В малом бизнесе — это больше 90% из всех категорий движения денег.</t>
  </si>
  <si>
    <t xml:space="preserve">2. Финансовая. Затраты и поступления в ходе финансовой деятельности: получение или выдача займов и кредитов, выплаты дивидендов, вклады денег в компанию от собственников.                                                </t>
  </si>
  <si>
    <t xml:space="preserve">3. Инвестиционная. Затраты и поступления, связанные с увеличение активов. Как правило, это покупка или продажа крупного имущества, техники, мебели, недвижимости.                                                </t>
  </si>
  <si>
    <t xml:space="preserve">Флаг неликвидности. Указывает на наличие кассовых разрывов и нехватку денег для поддержания нормальной деятельности компании. </t>
  </si>
  <si>
    <t>Что есть у компании и за чей счет это куплено. Сколько денег зарыто в активах? Насколько богата компания?</t>
  </si>
  <si>
    <t>Всё, чем владеет компания.</t>
  </si>
  <si>
    <t>Категория</t>
  </si>
  <si>
    <t>Из чего состоит</t>
  </si>
  <si>
    <t>Основные средства и нематериальные активы (ОС и НМА)</t>
  </si>
  <si>
    <t>Мебель, техника, транспорт и другое крупное имущество.</t>
  </si>
  <si>
    <t>Денежные средства</t>
  </si>
  <si>
    <t>Сумма денег на всех счетах компании.</t>
  </si>
  <si>
    <t>Долги, которые клиенты и поставщики должны компании.</t>
  </si>
  <si>
    <t>Все, что хранится на складе и может быть использовано для оказания услуг в закупочных ценах.</t>
  </si>
  <si>
    <t>За чей счет были куплены активы.</t>
  </si>
  <si>
    <t>Деньги собственников, вложенные в компанию и накопленная прибыль.</t>
  </si>
  <si>
    <t>Нераспределенная прибыль</t>
  </si>
  <si>
    <t>Прибыль или убыток, накопленные в ходе работы компании на текущий момент, за вычетом дивидендов.</t>
  </si>
  <si>
    <t>Займы и кредиты</t>
  </si>
  <si>
    <t>Деньги, полученные в займ у банка или частного инвестора.</t>
  </si>
  <si>
    <t>Наши обязательства перед другими лицами, клиентами, сотрудниками и т. д.</t>
  </si>
  <si>
    <t>ROE. Рентабельность собственного капитала. Это отношение чистой прибыли к собственному капиталу, посчитанное за год. ROE считается в процентах годовых.
Для малого бизнеса хорошим считается показатель в 30%.</t>
  </si>
  <si>
    <t>Выводы и рекомендации</t>
  </si>
  <si>
    <r>
      <rPr>
        <sz val="12"/>
        <color theme="1"/>
        <rFont val="Arial"/>
      </rPr>
      <t xml:space="preserve">
</t>
    </r>
    <r>
      <rPr>
        <b/>
        <sz val="12"/>
        <color theme="1"/>
        <rFont val="Arial"/>
      </rPr>
      <t>Выводы на основании предоставленной финансовой информации:</t>
    </r>
    <r>
      <rPr>
        <sz val="12"/>
        <color theme="1"/>
        <rFont val="Arial"/>
      </rPr>
      <t xml:space="preserve">
1. Сейчас переменные расходы занимают наибольшую долю. Это соотношение влияет на устойчивость бизнеса: чем больше доля переменных расходов, тем устойчивее бизнес.  Поэтому важно следить за долей постоянных расходов и не позволять ей расти.</t>
    </r>
  </si>
  <si>
    <t>2. Точка безубыточности показывает сколько выручки нужно, чтобы выйти в ноль по операционной прибыли. Но при большом количестве дорогостоящих основных средств нужно смотреть не только на точку безубыточности, но и планировать запас прибыли на амортизацию.Текущая модель показывает точку безубыточности в размере 26 тыс..руб.</t>
  </si>
  <si>
    <t>3. В оборотном капитале сейчас преобладают кредиторские задолженности. Отрицательный оборотный капитал говорит о том, что бизнес живет за чужой счет. В текущей ситуации это допустимо, но стоит помнить, что это чужие деньги и не тратить их на развитие или выплату дивидендов.</t>
  </si>
  <si>
    <t xml:space="preserve">4. Рентабельность по чистой прибыли составляет порядка 32% </t>
  </si>
  <si>
    <t>#REF!</t>
  </si>
  <si>
    <t>Дневной крем</t>
  </si>
  <si>
    <t>Ночной крем</t>
  </si>
  <si>
    <t>Увлажняющая сыворотка</t>
  </si>
  <si>
    <t>Лифтинг сыворотка</t>
  </si>
  <si>
    <t xml:space="preserve">Вы находитесь в аналитической записке к вашей финансовой модели. Это неразрывная часть инструмента «финансовая модель». Записка объясняет, чем особенна именно ваша финмодель, на что в ней нужно обращать внимание, какую информацию содержит каждый блок. 
</t>
  </si>
  <si>
    <t>Чтобы посчитать выручку, проставляйте вручную среднее «Количество покупателей» и «Структура продаж» и «Средний чек» по разным продуктам.</t>
  </si>
  <si>
    <t>Рентабельность по маржинальному доходу ?%
Показатель эффективности переменных расходов: чем выше, тем лучше.</t>
  </si>
  <si>
    <t>,</t>
  </si>
  <si>
    <t>Крио-Массажёр ГуаШа</t>
  </si>
  <si>
    <t>2028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</si>
</sst>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%"/>
    <numFmt numFmtId="165" formatCode="#,##0.0"/>
    <numFmt numFmtId="166" formatCode="#,##0;\(#,##0\);\-"/>
    <numFmt numFmtId="167" formatCode="d\ mmmm\ yyyy"/>
  </numFmts>
  <fonts count="54" x14ac:knownFonts="1">
    <font>
      <sz val="10"/>
      <color rgb="FF000000"/>
      <name val="Arial"/>
      <scheme val="minor"/>
    </font>
    <font>
      <sz val="12"/>
      <color theme="1"/>
      <name val="Source Sans Pro"/>
    </font>
    <font>
      <b/>
      <sz val="11"/>
      <color rgb="FFFF0000"/>
      <name val="Source Sans Pro"/>
    </font>
    <font>
      <sz val="11"/>
      <color theme="1"/>
      <name val="Source Sans Pro"/>
    </font>
    <font>
      <b/>
      <sz val="9"/>
      <color theme="1"/>
      <name val="Source Sans Pro"/>
    </font>
    <font>
      <sz val="10"/>
      <color theme="1"/>
      <name val="Source Sans Pro"/>
    </font>
    <font>
      <b/>
      <sz val="11"/>
      <color theme="1"/>
      <name val="Source Sans Pro"/>
    </font>
    <font>
      <b/>
      <sz val="11"/>
      <color rgb="FF000000"/>
      <name val="Source Sans Pro"/>
    </font>
    <font>
      <sz val="10"/>
      <color theme="1"/>
      <name val="Source Sans Pro"/>
    </font>
    <font>
      <b/>
      <sz val="12"/>
      <color rgb="FF000000"/>
      <name val="Source Sans Pro"/>
    </font>
    <font>
      <b/>
      <sz val="12"/>
      <color theme="1"/>
      <name val="Source Sans Pro"/>
    </font>
    <font>
      <b/>
      <sz val="15"/>
      <color theme="1"/>
      <name val="Source Sans Pro"/>
    </font>
    <font>
      <sz val="12"/>
      <color rgb="FFFFFFFF"/>
      <name val="Source Sans Pro"/>
    </font>
    <font>
      <b/>
      <sz val="12"/>
      <color rgb="FFFFFFFF"/>
      <name val="Source Sans Pro"/>
    </font>
    <font>
      <sz val="10"/>
      <color rgb="FFFFFFFF"/>
      <name val="Source Sans Pro"/>
    </font>
    <font>
      <sz val="10"/>
      <color theme="1"/>
      <name val="Arial"/>
    </font>
    <font>
      <sz val="12"/>
      <color rgb="FF000000"/>
      <name val="Source Sans Pro"/>
    </font>
    <font>
      <b/>
      <sz val="10"/>
      <color theme="1"/>
      <name val="Source Sans Pro"/>
    </font>
    <font>
      <i/>
      <sz val="12"/>
      <color theme="1"/>
      <name val="Source Sans Pro"/>
    </font>
    <font>
      <sz val="11"/>
      <color theme="1"/>
      <name val="Open Sans"/>
    </font>
    <font>
      <i/>
      <sz val="12"/>
      <color rgb="FF000000"/>
      <name val="Source Sans Pro"/>
    </font>
    <font>
      <i/>
      <sz val="12"/>
      <color rgb="FFCC0000"/>
      <name val="Source Sans Pro"/>
    </font>
    <font>
      <sz val="10"/>
      <color rgb="FFCC0000"/>
      <name val="Source Sans Pro"/>
    </font>
    <font>
      <i/>
      <sz val="10"/>
      <color theme="1"/>
      <name val="Source Sans Pro"/>
    </font>
    <font>
      <i/>
      <sz val="10"/>
      <color theme="1"/>
      <name val="Open Sans"/>
    </font>
    <font>
      <i/>
      <sz val="10"/>
      <color rgb="FF000000"/>
      <name val="Source Sans Pro"/>
    </font>
    <font>
      <i/>
      <sz val="10"/>
      <color theme="1"/>
      <name val="Source Sans Pro"/>
    </font>
    <font>
      <b/>
      <sz val="12"/>
      <color theme="1"/>
      <name val="Arial"/>
    </font>
    <font>
      <sz val="12"/>
      <color theme="1"/>
      <name val="Arial"/>
    </font>
    <font>
      <b/>
      <sz val="12"/>
      <color rgb="FF000000"/>
      <name val="Arial"/>
    </font>
    <font>
      <b/>
      <sz val="10"/>
      <color theme="1"/>
      <name val="Arial"/>
      <scheme val="minor"/>
    </font>
    <font>
      <sz val="10"/>
      <color theme="1"/>
      <name val="Arial"/>
      <scheme val="minor"/>
    </font>
    <font>
      <sz val="10"/>
      <name val="Arial"/>
    </font>
    <font>
      <b/>
      <i/>
      <sz val="12"/>
      <color theme="1"/>
      <name val="Source Sans Pro"/>
    </font>
    <font>
      <b/>
      <i/>
      <sz val="12"/>
      <color rgb="FF000000"/>
      <name val="Source Sans Pro"/>
    </font>
    <font>
      <b/>
      <i/>
      <sz val="12"/>
      <color rgb="FFCC0000"/>
      <name val="Source Sans Pro"/>
    </font>
    <font>
      <sz val="12"/>
      <color rgb="FFCC0000"/>
      <name val="Source Sans Pro"/>
    </font>
    <font>
      <b/>
      <sz val="14"/>
      <color theme="1"/>
      <name val="Arial"/>
      <scheme val="minor"/>
    </font>
    <font>
      <sz val="12"/>
      <color theme="1"/>
      <name val="Arial"/>
      <scheme val="minor"/>
    </font>
    <font>
      <b/>
      <sz val="10"/>
      <color theme="1"/>
      <name val="Arial"/>
      <scheme val="minor"/>
    </font>
    <font>
      <b/>
      <sz val="12"/>
      <color rgb="FFCC4125"/>
      <name val="Source Sans Pro"/>
    </font>
    <font>
      <sz val="12"/>
      <color rgb="FFCC4125"/>
      <name val="Source Sans Pro"/>
    </font>
    <font>
      <b/>
      <sz val="14"/>
      <color rgb="FF000000"/>
      <name val="Arial"/>
    </font>
    <font>
      <b/>
      <sz val="12"/>
      <color rgb="FF1155CC"/>
      <name val="Arial"/>
    </font>
    <font>
      <u/>
      <sz val="12"/>
      <color rgb="FF0000FF"/>
      <name val="Arial"/>
    </font>
    <font>
      <u/>
      <sz val="12"/>
      <color rgb="FF0000FF"/>
      <name val="Arial"/>
    </font>
    <font>
      <u/>
      <sz val="12"/>
      <color rgb="FF0000FF"/>
      <name val="Arial"/>
    </font>
    <font>
      <b/>
      <u/>
      <sz val="12"/>
      <color rgb="FF1155CC"/>
      <name val="Arial"/>
    </font>
    <font>
      <b/>
      <sz val="12"/>
      <color rgb="FFFF0000"/>
      <name val="Source Sans Pro"/>
    </font>
    <font>
      <b/>
      <sz val="10"/>
      <color theme="1"/>
      <name val="Arial"/>
    </font>
    <font>
      <i/>
      <sz val="10"/>
      <color theme="1"/>
      <name val="Arial"/>
    </font>
    <font>
      <b/>
      <sz val="15"/>
      <color theme="1"/>
      <name val="Source Sans Pro"/>
      <family val="2"/>
    </font>
    <font>
      <b/>
      <sz val="12"/>
      <color theme="1"/>
      <name val="Source Sans Pro"/>
      <family val="2"/>
    </font>
    <font>
      <b/>
      <sz val="12"/>
      <color rgb="FF000000"/>
      <name val="Source Sans Pro"/>
      <family val="2"/>
    </font>
  </fonts>
  <fills count="20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  <fill>
      <patternFill patternType="solid">
        <fgColor rgb="FFB6D7A8"/>
        <bgColor rgb="FFB6D7A8"/>
      </patternFill>
    </fill>
    <fill>
      <patternFill patternType="solid">
        <fgColor rgb="FFFFD966"/>
        <bgColor rgb="FFFFD966"/>
      </patternFill>
    </fill>
    <fill>
      <patternFill patternType="solid">
        <fgColor rgb="FFEFEFEF"/>
        <bgColor rgb="FFEFEFEF"/>
      </patternFill>
    </fill>
    <fill>
      <patternFill patternType="solid">
        <fgColor rgb="FF38761D"/>
        <bgColor rgb="FF38761D"/>
      </patternFill>
    </fill>
    <fill>
      <patternFill patternType="solid">
        <fgColor rgb="FF93C47D"/>
        <bgColor rgb="FF93C47D"/>
      </patternFill>
    </fill>
    <fill>
      <patternFill patternType="solid">
        <fgColor rgb="FFD9EAD3"/>
        <bgColor rgb="FFD9EAD3"/>
      </patternFill>
    </fill>
    <fill>
      <patternFill patternType="solid">
        <fgColor rgb="FFDD7E6B"/>
        <bgColor rgb="FFDD7E6B"/>
      </patternFill>
    </fill>
    <fill>
      <patternFill patternType="solid">
        <fgColor rgb="FFE6B8AF"/>
        <bgColor rgb="FFE6B8AF"/>
      </patternFill>
    </fill>
    <fill>
      <patternFill patternType="solid">
        <fgColor rgb="FFC9DAF8"/>
        <bgColor rgb="FFC9DAF8"/>
      </patternFill>
    </fill>
    <fill>
      <patternFill patternType="solid">
        <fgColor rgb="FFD9D9D9"/>
        <bgColor rgb="FFD9D9D9"/>
      </patternFill>
    </fill>
    <fill>
      <patternFill patternType="solid">
        <fgColor rgb="FFCFE2F3"/>
        <bgColor rgb="FFCFE2F3"/>
      </patternFill>
    </fill>
    <fill>
      <patternFill patternType="solid">
        <fgColor theme="0"/>
        <bgColor theme="0"/>
      </patternFill>
    </fill>
    <fill>
      <patternFill patternType="solid">
        <fgColor rgb="FFEA9999"/>
        <bgColor rgb="FFEA9999"/>
      </patternFill>
    </fill>
    <fill>
      <patternFill patternType="solid">
        <fgColor rgb="FFF4CCCC"/>
        <bgColor rgb="FFF4CCCC"/>
      </patternFill>
    </fill>
    <fill>
      <patternFill patternType="solid">
        <fgColor rgb="FFF1C232"/>
        <bgColor rgb="FFF1C232"/>
      </patternFill>
    </fill>
    <fill>
      <patternFill patternType="solid">
        <fgColor rgb="FFFFFF00"/>
        <bgColor rgb="FFFFFF00"/>
      </patternFill>
    </fill>
  </fills>
  <borders count="26">
    <border>
      <left/>
      <right/>
      <top/>
      <bottom/>
      <diagonal/>
    </border>
    <border>
      <left style="double">
        <color rgb="FF000000"/>
      </left>
      <right/>
      <top/>
      <bottom/>
      <diagonal/>
    </border>
    <border>
      <left/>
      <right/>
      <top/>
      <bottom style="double">
        <color rgb="FF000000"/>
      </bottom>
      <diagonal/>
    </border>
    <border>
      <left/>
      <right style="thick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double">
        <color rgb="FF000000"/>
      </bottom>
      <diagonal/>
    </border>
    <border>
      <left/>
      <right/>
      <top/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/>
      <right/>
      <top style="thin">
        <color rgb="FF999999"/>
      </top>
      <bottom style="thin">
        <color rgb="FF999999"/>
      </bottom>
      <diagonal/>
    </border>
    <border>
      <left/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double">
        <color rgb="FFFF0000"/>
      </left>
      <right/>
      <top style="double">
        <color rgb="FFFF0000"/>
      </top>
      <bottom/>
      <diagonal/>
    </border>
    <border>
      <left/>
      <right/>
      <top style="double">
        <color rgb="FFFF0000"/>
      </top>
      <bottom/>
      <diagonal/>
    </border>
    <border>
      <left/>
      <right style="double">
        <color rgb="FFFF0000"/>
      </right>
      <top style="double">
        <color rgb="FFFF0000"/>
      </top>
      <bottom/>
      <diagonal/>
    </border>
    <border>
      <left style="double">
        <color rgb="FFFF0000"/>
      </left>
      <right/>
      <top/>
      <bottom/>
      <diagonal/>
    </border>
    <border>
      <left/>
      <right style="double">
        <color rgb="FFFF0000"/>
      </right>
      <top/>
      <bottom/>
      <diagonal/>
    </border>
    <border>
      <left style="double">
        <color rgb="FFFF0000"/>
      </left>
      <right/>
      <top/>
      <bottom style="double">
        <color rgb="FFFF0000"/>
      </bottom>
      <diagonal/>
    </border>
    <border>
      <left/>
      <right/>
      <top/>
      <bottom style="double">
        <color rgb="FFFF0000"/>
      </bottom>
      <diagonal/>
    </border>
    <border>
      <left/>
      <right style="double">
        <color rgb="FFFF0000"/>
      </right>
      <top/>
      <bottom style="double">
        <color rgb="FFFF0000"/>
      </bottom>
      <diagonal/>
    </border>
  </borders>
  <cellStyleXfs count="1">
    <xf numFmtId="0" fontId="0" fillId="0" borderId="0"/>
  </cellStyleXfs>
  <cellXfs count="542">
    <xf numFmtId="0" fontId="0" fillId="0" borderId="0" xfId="0" applyFont="1" applyAlignment="1"/>
    <xf numFmtId="0" fontId="1" fillId="0" borderId="0" xfId="0" applyFont="1" applyAlignment="1">
      <alignment vertical="center"/>
    </xf>
    <xf numFmtId="0" fontId="3" fillId="3" borderId="0" xfId="0" applyFont="1" applyFill="1" applyAlignment="1">
      <alignment vertical="center"/>
    </xf>
    <xf numFmtId="3" fontId="4" fillId="3" borderId="0" xfId="0" applyNumberFormat="1" applyFont="1" applyFill="1" applyAlignment="1">
      <alignment horizontal="right" vertical="center" wrapText="1"/>
    </xf>
    <xf numFmtId="3" fontId="3" fillId="3" borderId="0" xfId="0" applyNumberFormat="1" applyFont="1" applyFill="1" applyAlignment="1">
      <alignment horizontal="right" vertical="center" wrapText="1"/>
    </xf>
    <xf numFmtId="3" fontId="1" fillId="3" borderId="0" xfId="0" applyNumberFormat="1" applyFont="1" applyFill="1" applyAlignment="1">
      <alignment horizontal="right" vertical="center" wrapText="1"/>
    </xf>
    <xf numFmtId="3" fontId="1" fillId="3" borderId="0" xfId="0" applyNumberFormat="1" applyFont="1" applyFill="1" applyAlignment="1">
      <alignment horizontal="right" vertical="center" wrapText="1"/>
    </xf>
    <xf numFmtId="3" fontId="1" fillId="3" borderId="0" xfId="0" applyNumberFormat="1" applyFont="1" applyFill="1" applyAlignment="1">
      <alignment horizontal="center" vertical="center" wrapText="1"/>
    </xf>
    <xf numFmtId="3" fontId="1" fillId="3" borderId="1" xfId="0" applyNumberFormat="1" applyFont="1" applyFill="1" applyBorder="1" applyAlignment="1">
      <alignment horizontal="right" vertical="center" wrapText="1"/>
    </xf>
    <xf numFmtId="0" fontId="5" fillId="0" borderId="0" xfId="0" applyFont="1"/>
    <xf numFmtId="0" fontId="5" fillId="3" borderId="0" xfId="0" applyFont="1" applyFill="1"/>
    <xf numFmtId="3" fontId="6" fillId="3" borderId="0" xfId="0" applyNumberFormat="1" applyFont="1" applyFill="1" applyAlignment="1">
      <alignment horizontal="left" vertical="center" wrapText="1"/>
    </xf>
    <xf numFmtId="3" fontId="7" fillId="4" borderId="0" xfId="0" applyNumberFormat="1" applyFont="1" applyFill="1" applyAlignment="1">
      <alignment vertical="center" wrapText="1"/>
    </xf>
    <xf numFmtId="3" fontId="3" fillId="2" borderId="0" xfId="0" applyNumberFormat="1" applyFont="1" applyFill="1" applyAlignment="1">
      <alignment horizontal="right" vertical="center" wrapText="1"/>
    </xf>
    <xf numFmtId="3" fontId="3" fillId="3" borderId="0" xfId="0" applyNumberFormat="1" applyFont="1" applyFill="1" applyAlignment="1">
      <alignment horizontal="right" vertical="center"/>
    </xf>
    <xf numFmtId="10" fontId="3" fillId="3" borderId="0" xfId="0" applyNumberFormat="1" applyFont="1" applyFill="1" applyAlignment="1">
      <alignment horizontal="right" vertical="center"/>
    </xf>
    <xf numFmtId="0" fontId="5" fillId="0" borderId="0" xfId="0" applyFont="1" applyAlignment="1">
      <alignment vertical="center"/>
    </xf>
    <xf numFmtId="3" fontId="8" fillId="3" borderId="1" xfId="0" applyNumberFormat="1" applyFont="1" applyFill="1" applyBorder="1" applyAlignment="1">
      <alignment horizontal="right" vertical="center" wrapText="1"/>
    </xf>
    <xf numFmtId="0" fontId="1" fillId="0" borderId="0" xfId="0" applyFont="1" applyAlignment="1">
      <alignment vertical="center" wrapText="1"/>
    </xf>
    <xf numFmtId="0" fontId="8" fillId="3" borderId="0" xfId="0" applyFont="1" applyFill="1" applyAlignment="1">
      <alignment vertical="center" wrapText="1"/>
    </xf>
    <xf numFmtId="9" fontId="3" fillId="0" borderId="0" xfId="0" applyNumberFormat="1" applyFont="1" applyAlignment="1">
      <alignment vertical="center"/>
    </xf>
    <xf numFmtId="4" fontId="3" fillId="3" borderId="0" xfId="0" applyNumberFormat="1" applyFont="1" applyFill="1" applyAlignment="1">
      <alignment vertical="center"/>
    </xf>
    <xf numFmtId="4" fontId="1" fillId="3" borderId="0" xfId="0" applyNumberFormat="1" applyFont="1" applyFill="1" applyAlignment="1">
      <alignment vertical="center"/>
    </xf>
    <xf numFmtId="4" fontId="1" fillId="3" borderId="1" xfId="0" applyNumberFormat="1" applyFont="1" applyFill="1" applyBorder="1" applyAlignment="1">
      <alignment vertical="center"/>
    </xf>
    <xf numFmtId="0" fontId="1" fillId="3" borderId="0" xfId="0" applyFont="1" applyFill="1" applyAlignment="1">
      <alignment vertical="center" wrapText="1"/>
    </xf>
    <xf numFmtId="3" fontId="9" fillId="0" borderId="0" xfId="0" applyNumberFormat="1" applyFont="1" applyAlignment="1">
      <alignment vertical="center" wrapText="1"/>
    </xf>
    <xf numFmtId="0" fontId="10" fillId="5" borderId="0" xfId="0" applyFont="1" applyFill="1" applyAlignment="1">
      <alignment horizontal="left" vertical="center" wrapText="1"/>
    </xf>
    <xf numFmtId="0" fontId="5" fillId="5" borderId="0" xfId="0" applyFont="1" applyFill="1" applyAlignment="1">
      <alignment vertical="center"/>
    </xf>
    <xf numFmtId="49" fontId="11" fillId="5" borderId="0" xfId="0" applyNumberFormat="1" applyFont="1" applyFill="1" applyAlignment="1">
      <alignment horizontal="center" vertical="center" wrapText="1"/>
    </xf>
    <xf numFmtId="0" fontId="10" fillId="3" borderId="0" xfId="0" applyFont="1" applyFill="1" applyAlignment="1">
      <alignment horizontal="right" vertical="center" wrapText="1"/>
    </xf>
    <xf numFmtId="3" fontId="10" fillId="3" borderId="0" xfId="0" applyNumberFormat="1" applyFont="1" applyFill="1" applyAlignment="1">
      <alignment horizontal="center" vertical="center" wrapText="1"/>
    </xf>
    <xf numFmtId="0" fontId="1" fillId="6" borderId="0" xfId="0" applyFont="1" applyFill="1" applyAlignment="1">
      <alignment vertical="center" wrapText="1"/>
    </xf>
    <xf numFmtId="3" fontId="9" fillId="6" borderId="0" xfId="0" applyNumberFormat="1" applyFont="1" applyFill="1" applyAlignment="1">
      <alignment vertical="center" wrapText="1"/>
    </xf>
    <xf numFmtId="3" fontId="9" fillId="6" borderId="0" xfId="0" applyNumberFormat="1" applyFont="1" applyFill="1" applyAlignment="1">
      <alignment horizontal="right" vertical="center" wrapText="1"/>
    </xf>
    <xf numFmtId="3" fontId="1" fillId="0" borderId="0" xfId="0" applyNumberFormat="1" applyFont="1" applyAlignment="1">
      <alignment vertical="center" wrapText="1"/>
    </xf>
    <xf numFmtId="3" fontId="1" fillId="0" borderId="0" xfId="0" applyNumberFormat="1" applyFont="1" applyAlignment="1">
      <alignment horizontal="right" vertical="center" wrapText="1"/>
    </xf>
    <xf numFmtId="0" fontId="12" fillId="7" borderId="0" xfId="0" applyFont="1" applyFill="1" applyAlignment="1">
      <alignment vertical="center" wrapText="1"/>
    </xf>
    <xf numFmtId="3" fontId="13" fillId="7" borderId="0" xfId="0" applyNumberFormat="1" applyFont="1" applyFill="1" applyAlignment="1">
      <alignment vertical="center" wrapText="1"/>
    </xf>
    <xf numFmtId="3" fontId="13" fillId="7" borderId="0" xfId="0" applyNumberFormat="1" applyFont="1" applyFill="1" applyAlignment="1">
      <alignment horizontal="right" vertical="center" wrapText="1"/>
    </xf>
    <xf numFmtId="0" fontId="14" fillId="3" borderId="0" xfId="0" applyFont="1" applyFill="1"/>
    <xf numFmtId="0" fontId="5" fillId="8" borderId="0" xfId="0" applyFont="1" applyFill="1" applyAlignment="1">
      <alignment vertical="center"/>
    </xf>
    <xf numFmtId="3" fontId="10" fillId="8" borderId="0" xfId="0" applyNumberFormat="1" applyFont="1" applyFill="1" applyAlignment="1">
      <alignment vertical="center" wrapText="1"/>
    </xf>
    <xf numFmtId="3" fontId="1" fillId="8" borderId="0" xfId="0" applyNumberFormat="1" applyFont="1" applyFill="1" applyAlignment="1">
      <alignment vertical="center"/>
    </xf>
    <xf numFmtId="3" fontId="10" fillId="9" borderId="0" xfId="0" applyNumberFormat="1" applyFont="1" applyFill="1" applyAlignment="1">
      <alignment vertical="center" wrapText="1"/>
    </xf>
    <xf numFmtId="3" fontId="1" fillId="9" borderId="0" xfId="0" applyNumberFormat="1" applyFont="1" applyFill="1" applyAlignment="1">
      <alignment horizontal="center" vertical="center" wrapText="1"/>
    </xf>
    <xf numFmtId="3" fontId="1" fillId="9" borderId="0" xfId="0" applyNumberFormat="1" applyFont="1" applyFill="1" applyAlignment="1">
      <alignment vertical="center"/>
    </xf>
    <xf numFmtId="3" fontId="1" fillId="3" borderId="0" xfId="0" applyNumberFormat="1" applyFont="1" applyFill="1" applyAlignment="1">
      <alignment vertical="center" wrapText="1"/>
    </xf>
    <xf numFmtId="4" fontId="1" fillId="2" borderId="0" xfId="0" applyNumberFormat="1" applyFont="1" applyFill="1" applyAlignment="1">
      <alignment vertical="center"/>
    </xf>
    <xf numFmtId="3" fontId="5" fillId="0" borderId="0" xfId="0" applyNumberFormat="1" applyFont="1" applyAlignment="1">
      <alignment vertical="center"/>
    </xf>
    <xf numFmtId="3" fontId="1" fillId="3" borderId="0" xfId="0" applyNumberFormat="1" applyFont="1" applyFill="1" applyAlignment="1">
      <alignment vertical="top" wrapText="1"/>
    </xf>
    <xf numFmtId="3" fontId="1" fillId="2" borderId="0" xfId="0" applyNumberFormat="1" applyFont="1" applyFill="1" applyAlignment="1">
      <alignment horizontal="center" vertical="center" wrapText="1"/>
    </xf>
    <xf numFmtId="3" fontId="1" fillId="3" borderId="0" xfId="0" applyNumberFormat="1" applyFont="1" applyFill="1" applyAlignment="1">
      <alignment vertical="center"/>
    </xf>
    <xf numFmtId="9" fontId="1" fillId="2" borderId="0" xfId="0" applyNumberFormat="1" applyFont="1" applyFill="1" applyAlignment="1">
      <alignment horizontal="center" vertical="center"/>
    </xf>
    <xf numFmtId="3" fontId="1" fillId="3" borderId="0" xfId="0" applyNumberFormat="1" applyFont="1" applyFill="1" applyAlignment="1">
      <alignment vertical="top" wrapText="1"/>
    </xf>
    <xf numFmtId="9" fontId="1" fillId="3" borderId="0" xfId="0" applyNumberFormat="1" applyFont="1" applyFill="1" applyAlignment="1">
      <alignment horizontal="center" vertical="center" wrapText="1"/>
    </xf>
    <xf numFmtId="9" fontId="1" fillId="2" borderId="0" xfId="0" applyNumberFormat="1" applyFont="1" applyFill="1" applyAlignment="1">
      <alignment horizontal="center" vertical="center" wrapText="1"/>
    </xf>
    <xf numFmtId="3" fontId="1" fillId="3" borderId="0" xfId="0" applyNumberFormat="1" applyFont="1" applyFill="1" applyAlignment="1">
      <alignment horizontal="center" vertical="center"/>
    </xf>
    <xf numFmtId="3" fontId="1" fillId="3" borderId="0" xfId="0" applyNumberFormat="1" applyFont="1" applyFill="1" applyAlignment="1">
      <alignment horizontal="center" vertical="center"/>
    </xf>
    <xf numFmtId="3" fontId="1" fillId="2" borderId="0" xfId="0" applyNumberFormat="1" applyFont="1" applyFill="1" applyAlignment="1">
      <alignment horizontal="center" vertical="center"/>
    </xf>
    <xf numFmtId="0" fontId="5" fillId="9" borderId="0" xfId="0" applyFont="1" applyFill="1" applyAlignment="1">
      <alignment vertical="center"/>
    </xf>
    <xf numFmtId="3" fontId="1" fillId="9" borderId="0" xfId="0" applyNumberFormat="1" applyFont="1" applyFill="1" applyAlignment="1">
      <alignment vertical="center"/>
    </xf>
    <xf numFmtId="3" fontId="15" fillId="8" borderId="0" xfId="0" applyNumberFormat="1" applyFont="1" applyFill="1"/>
    <xf numFmtId="3" fontId="10" fillId="8" borderId="0" xfId="0" applyNumberFormat="1" applyFont="1" applyFill="1" applyAlignment="1">
      <alignment wrapText="1"/>
    </xf>
    <xf numFmtId="3" fontId="1" fillId="8" borderId="0" xfId="0" applyNumberFormat="1" applyFont="1" applyFill="1"/>
    <xf numFmtId="0" fontId="15" fillId="3" borderId="0" xfId="0" applyFont="1" applyFill="1" applyAlignment="1"/>
    <xf numFmtId="3" fontId="15" fillId="9" borderId="0" xfId="0" applyNumberFormat="1" applyFont="1" applyFill="1"/>
    <xf numFmtId="3" fontId="10" fillId="9" borderId="0" xfId="0" applyNumberFormat="1" applyFont="1" applyFill="1" applyAlignment="1">
      <alignment wrapText="1"/>
    </xf>
    <xf numFmtId="3" fontId="1" fillId="9" borderId="0" xfId="0" applyNumberFormat="1" applyFont="1" applyFill="1" applyAlignment="1">
      <alignment horizontal="center" wrapText="1"/>
    </xf>
    <xf numFmtId="3" fontId="1" fillId="9" borderId="0" xfId="0" applyNumberFormat="1" applyFont="1" applyFill="1" applyAlignment="1">
      <alignment horizontal="right"/>
    </xf>
    <xf numFmtId="3" fontId="9" fillId="3" borderId="0" xfId="0" applyNumberFormat="1" applyFont="1" applyFill="1" applyAlignment="1">
      <alignment vertical="center" wrapText="1"/>
    </xf>
    <xf numFmtId="3" fontId="5" fillId="3" borderId="0" xfId="0" applyNumberFormat="1" applyFont="1" applyFill="1" applyAlignment="1">
      <alignment vertical="center"/>
    </xf>
    <xf numFmtId="10" fontId="9" fillId="3" borderId="0" xfId="0" applyNumberFormat="1" applyFont="1" applyFill="1" applyAlignment="1">
      <alignment horizontal="right" vertical="center" wrapText="1"/>
    </xf>
    <xf numFmtId="3" fontId="9" fillId="3" borderId="0" xfId="0" applyNumberFormat="1" applyFont="1" applyFill="1" applyAlignment="1">
      <alignment horizontal="right" vertical="center" wrapText="1"/>
    </xf>
    <xf numFmtId="3" fontId="13" fillId="7" borderId="0" xfId="0" applyNumberFormat="1" applyFont="1" applyFill="1" applyAlignment="1">
      <alignment vertical="center" wrapText="1"/>
    </xf>
    <xf numFmtId="3" fontId="14" fillId="7" borderId="0" xfId="0" applyNumberFormat="1" applyFont="1" applyFill="1" applyAlignment="1">
      <alignment vertical="center"/>
    </xf>
    <xf numFmtId="3" fontId="9" fillId="4" borderId="0" xfId="0" applyNumberFormat="1" applyFont="1" applyFill="1" applyAlignment="1">
      <alignment vertical="center" wrapText="1"/>
    </xf>
    <xf numFmtId="3" fontId="5" fillId="4" borderId="0" xfId="0" applyNumberFormat="1" applyFont="1" applyFill="1" applyAlignment="1">
      <alignment vertical="center"/>
    </xf>
    <xf numFmtId="3" fontId="9" fillId="4" borderId="0" xfId="0" applyNumberFormat="1" applyFont="1" applyFill="1" applyAlignment="1">
      <alignment horizontal="right" vertical="center" wrapText="1"/>
    </xf>
    <xf numFmtId="3" fontId="9" fillId="9" borderId="0" xfId="0" applyNumberFormat="1" applyFont="1" applyFill="1" applyAlignment="1">
      <alignment vertical="center" wrapText="1"/>
    </xf>
    <xf numFmtId="3" fontId="5" fillId="9" borderId="0" xfId="0" applyNumberFormat="1" applyFont="1" applyFill="1" applyAlignment="1">
      <alignment vertical="center"/>
    </xf>
    <xf numFmtId="3" fontId="9" fillId="9" borderId="0" xfId="0" applyNumberFormat="1" applyFont="1" applyFill="1" applyAlignment="1">
      <alignment horizontal="right" vertical="center" wrapText="1"/>
    </xf>
    <xf numFmtId="3" fontId="1" fillId="3" borderId="0" xfId="0" applyNumberFormat="1" applyFont="1" applyFill="1" applyAlignment="1">
      <alignment vertical="center" wrapText="1"/>
    </xf>
    <xf numFmtId="0" fontId="1" fillId="2" borderId="0" xfId="0" applyFont="1" applyFill="1" applyAlignment="1">
      <alignment horizontal="center" vertical="center" wrapText="1"/>
    </xf>
    <xf numFmtId="0" fontId="16" fillId="0" borderId="0" xfId="0" applyFont="1" applyAlignment="1">
      <alignment vertical="center" wrapText="1"/>
    </xf>
    <xf numFmtId="0" fontId="17" fillId="0" borderId="0" xfId="0" applyFont="1" applyAlignment="1">
      <alignment vertical="center"/>
    </xf>
    <xf numFmtId="3" fontId="10" fillId="9" borderId="0" xfId="0" applyNumberFormat="1" applyFont="1" applyFill="1" applyAlignment="1">
      <alignment horizontal="center" vertical="center" wrapText="1"/>
    </xf>
    <xf numFmtId="3" fontId="10" fillId="9" borderId="0" xfId="0" applyNumberFormat="1" applyFont="1" applyFill="1" applyAlignment="1">
      <alignment vertical="center"/>
    </xf>
    <xf numFmtId="0" fontId="17" fillId="3" borderId="0" xfId="0" applyFont="1" applyFill="1"/>
    <xf numFmtId="0" fontId="10" fillId="0" borderId="0" xfId="0" applyFont="1" applyAlignment="1">
      <alignment vertical="center" wrapText="1"/>
    </xf>
    <xf numFmtId="3" fontId="17" fillId="9" borderId="0" xfId="0" applyNumberFormat="1" applyFont="1" applyFill="1" applyAlignment="1">
      <alignment vertical="center"/>
    </xf>
    <xf numFmtId="3" fontId="17" fillId="0" borderId="0" xfId="0" applyNumberFormat="1" applyFont="1" applyAlignment="1">
      <alignment vertical="center"/>
    </xf>
    <xf numFmtId="3" fontId="1" fillId="3" borderId="0" xfId="0" applyNumberFormat="1" applyFont="1" applyFill="1" applyAlignment="1">
      <alignment horizontal="right"/>
    </xf>
    <xf numFmtId="3" fontId="18" fillId="3" borderId="0" xfId="0" applyNumberFormat="1" applyFont="1" applyFill="1" applyAlignment="1">
      <alignment vertical="center" wrapText="1"/>
    </xf>
    <xf numFmtId="10" fontId="18" fillId="3" borderId="0" xfId="0" applyNumberFormat="1" applyFont="1" applyFill="1" applyAlignment="1">
      <alignment horizontal="right" vertical="center" wrapText="1"/>
    </xf>
    <xf numFmtId="3" fontId="10" fillId="10" borderId="0" xfId="0" applyNumberFormat="1" applyFont="1" applyFill="1" applyAlignment="1">
      <alignment vertical="center" wrapText="1"/>
    </xf>
    <xf numFmtId="3" fontId="18" fillId="10" borderId="0" xfId="0" applyNumberFormat="1" applyFont="1" applyFill="1" applyAlignment="1">
      <alignment vertical="center" wrapText="1"/>
    </xf>
    <xf numFmtId="3" fontId="10" fillId="10" borderId="0" xfId="0" applyNumberFormat="1" applyFont="1" applyFill="1" applyAlignment="1">
      <alignment horizontal="right" vertical="center" wrapText="1"/>
    </xf>
    <xf numFmtId="3" fontId="18" fillId="3" borderId="0" xfId="0" applyNumberFormat="1" applyFont="1" applyFill="1" applyAlignment="1">
      <alignment vertical="center" wrapText="1"/>
    </xf>
    <xf numFmtId="164" fontId="18" fillId="3" borderId="0" xfId="0" applyNumberFormat="1" applyFont="1" applyFill="1" applyAlignment="1">
      <alignment horizontal="right" vertical="center" wrapText="1"/>
    </xf>
    <xf numFmtId="3" fontId="18" fillId="3" borderId="0" xfId="0" applyNumberFormat="1" applyFont="1" applyFill="1" applyAlignment="1">
      <alignment horizontal="right" vertical="center" wrapText="1"/>
    </xf>
    <xf numFmtId="3" fontId="18" fillId="11" borderId="0" xfId="0" applyNumberFormat="1" applyFont="1" applyFill="1" applyAlignment="1">
      <alignment vertical="center" wrapText="1"/>
    </xf>
    <xf numFmtId="3" fontId="18" fillId="11" borderId="0" xfId="0" applyNumberFormat="1" applyFont="1" applyFill="1" applyAlignment="1">
      <alignment vertical="center" wrapText="1"/>
    </xf>
    <xf numFmtId="164" fontId="18" fillId="11" borderId="0" xfId="0" applyNumberFormat="1" applyFont="1" applyFill="1" applyAlignment="1">
      <alignment horizontal="right" vertical="center" wrapText="1"/>
    </xf>
    <xf numFmtId="3" fontId="9" fillId="4" borderId="0" xfId="0" applyNumberFormat="1" applyFont="1" applyFill="1" applyAlignment="1">
      <alignment vertical="center" wrapText="1"/>
    </xf>
    <xf numFmtId="0" fontId="18" fillId="0" borderId="0" xfId="0" applyFont="1" applyAlignment="1">
      <alignment vertical="center" wrapText="1"/>
    </xf>
    <xf numFmtId="3" fontId="19" fillId="0" borderId="0" xfId="0" applyNumberFormat="1" applyFont="1" applyAlignment="1">
      <alignment wrapText="1"/>
    </xf>
    <xf numFmtId="3" fontId="20" fillId="3" borderId="0" xfId="0" applyNumberFormat="1" applyFont="1" applyFill="1" applyAlignment="1">
      <alignment horizontal="right" vertical="center" wrapText="1"/>
    </xf>
    <xf numFmtId="3" fontId="20" fillId="0" borderId="0" xfId="0" applyNumberFormat="1" applyFont="1" applyAlignment="1">
      <alignment horizontal="right" vertical="center" wrapText="1"/>
    </xf>
    <xf numFmtId="0" fontId="21" fillId="0" borderId="0" xfId="0" applyFont="1" applyAlignment="1">
      <alignment vertical="center" wrapText="1"/>
    </xf>
    <xf numFmtId="0" fontId="16" fillId="3" borderId="0" xfId="0" applyFont="1" applyFill="1" applyAlignment="1">
      <alignment vertical="center" wrapText="1"/>
    </xf>
    <xf numFmtId="9" fontId="16" fillId="2" borderId="0" xfId="0" applyNumberFormat="1" applyFont="1" applyFill="1" applyAlignment="1">
      <alignment horizontal="right" vertical="center" wrapText="1"/>
    </xf>
    <xf numFmtId="9" fontId="21" fillId="3" borderId="0" xfId="0" applyNumberFormat="1" applyFont="1" applyFill="1" applyAlignment="1">
      <alignment horizontal="right" vertical="center" wrapText="1"/>
    </xf>
    <xf numFmtId="0" fontId="22" fillId="3" borderId="0" xfId="0" applyFont="1" applyFill="1"/>
    <xf numFmtId="3" fontId="20" fillId="2" borderId="0" xfId="0" applyNumberFormat="1" applyFont="1" applyFill="1" applyAlignment="1">
      <alignment horizontal="right" vertical="center" wrapText="1"/>
    </xf>
    <xf numFmtId="0" fontId="23" fillId="0" borderId="0" xfId="0" applyFont="1" applyAlignment="1">
      <alignment horizontal="left" vertical="center" wrapText="1"/>
    </xf>
    <xf numFmtId="0" fontId="24" fillId="0" borderId="0" xfId="0" applyFont="1" applyAlignment="1">
      <alignment wrapText="1"/>
    </xf>
    <xf numFmtId="3" fontId="25" fillId="3" borderId="0" xfId="0" applyNumberFormat="1" applyFont="1" applyFill="1" applyAlignment="1">
      <alignment horizontal="right" vertical="center" wrapText="1"/>
    </xf>
    <xf numFmtId="165" fontId="25" fillId="2" borderId="0" xfId="0" applyNumberFormat="1" applyFont="1" applyFill="1" applyAlignment="1">
      <alignment horizontal="right" vertical="center" wrapText="1"/>
    </xf>
    <xf numFmtId="0" fontId="23" fillId="3" borderId="0" xfId="0" applyFont="1" applyFill="1"/>
    <xf numFmtId="3" fontId="25" fillId="0" borderId="0" xfId="0" applyNumberFormat="1" applyFont="1" applyAlignment="1">
      <alignment horizontal="right" vertical="center" wrapText="1"/>
    </xf>
    <xf numFmtId="0" fontId="1" fillId="0" borderId="0" xfId="0" applyFont="1" applyAlignment="1">
      <alignment horizontal="left" vertical="center" wrapText="1"/>
    </xf>
    <xf numFmtId="0" fontId="19" fillId="0" borderId="0" xfId="0" applyFont="1" applyAlignment="1">
      <alignment wrapText="1"/>
    </xf>
    <xf numFmtId="3" fontId="1" fillId="0" borderId="0" xfId="0" applyNumberFormat="1" applyFont="1" applyAlignment="1">
      <alignment vertical="center"/>
    </xf>
    <xf numFmtId="10" fontId="1" fillId="0" borderId="0" xfId="0" applyNumberFormat="1" applyFont="1" applyAlignment="1">
      <alignment horizontal="right" vertical="center" wrapText="1"/>
    </xf>
    <xf numFmtId="3" fontId="19" fillId="0" borderId="0" xfId="0" applyNumberFormat="1" applyFont="1" applyAlignment="1">
      <alignment wrapText="1"/>
    </xf>
    <xf numFmtId="3" fontId="1" fillId="2" borderId="0" xfId="0" applyNumberFormat="1" applyFont="1" applyFill="1" applyAlignment="1">
      <alignment horizontal="right" vertical="center" wrapText="1"/>
    </xf>
    <xf numFmtId="0" fontId="19" fillId="0" borderId="0" xfId="0" applyFont="1" applyAlignment="1">
      <alignment wrapText="1"/>
    </xf>
    <xf numFmtId="0" fontId="1" fillId="3" borderId="0" xfId="0" applyFont="1" applyFill="1" applyAlignment="1">
      <alignment horizontal="left" vertical="center" wrapText="1"/>
    </xf>
    <xf numFmtId="0" fontId="9" fillId="10" borderId="0" xfId="0" applyFont="1" applyFill="1" applyAlignment="1">
      <alignment vertical="center" wrapText="1"/>
    </xf>
    <xf numFmtId="3" fontId="9" fillId="10" borderId="0" xfId="0" applyNumberFormat="1" applyFont="1" applyFill="1" applyAlignment="1">
      <alignment vertical="center" wrapText="1"/>
    </xf>
    <xf numFmtId="3" fontId="9" fillId="10" borderId="0" xfId="0" applyNumberFormat="1" applyFont="1" applyFill="1" applyAlignment="1">
      <alignment horizontal="right" vertical="center" wrapText="1"/>
    </xf>
    <xf numFmtId="9" fontId="23" fillId="0" borderId="0" xfId="0" applyNumberFormat="1" applyFont="1" applyAlignment="1">
      <alignment vertical="center" wrapText="1"/>
    </xf>
    <xf numFmtId="164" fontId="18" fillId="3" borderId="0" xfId="0" applyNumberFormat="1" applyFont="1" applyFill="1" applyAlignment="1">
      <alignment vertical="center" wrapText="1"/>
    </xf>
    <xf numFmtId="164" fontId="18" fillId="3" borderId="0" xfId="0" applyNumberFormat="1" applyFont="1" applyFill="1" applyAlignment="1">
      <alignment vertical="center" wrapText="1"/>
    </xf>
    <xf numFmtId="3" fontId="9" fillId="3" borderId="0" xfId="0" applyNumberFormat="1" applyFont="1" applyFill="1" applyAlignment="1">
      <alignment vertical="center" wrapText="1"/>
    </xf>
    <xf numFmtId="3" fontId="10" fillId="9" borderId="0" xfId="0" applyNumberFormat="1" applyFont="1" applyFill="1" applyAlignment="1">
      <alignment vertical="center" wrapText="1"/>
    </xf>
    <xf numFmtId="3" fontId="10" fillId="9" borderId="0" xfId="0" applyNumberFormat="1" applyFont="1" applyFill="1" applyAlignment="1">
      <alignment horizontal="right" vertical="center" wrapText="1"/>
    </xf>
    <xf numFmtId="0" fontId="1" fillId="0" borderId="0" xfId="0" applyFont="1" applyAlignment="1">
      <alignment wrapText="1"/>
    </xf>
    <xf numFmtId="0" fontId="1" fillId="0" borderId="0" xfId="0" applyFont="1" applyAlignment="1">
      <alignment wrapText="1"/>
    </xf>
    <xf numFmtId="0" fontId="1" fillId="3" borderId="0" xfId="0" applyFont="1" applyFill="1" applyAlignment="1">
      <alignment vertical="center" wrapText="1"/>
    </xf>
    <xf numFmtId="0" fontId="21" fillId="3" borderId="0" xfId="0" applyFont="1" applyFill="1" applyAlignment="1">
      <alignment vertical="center" wrapText="1"/>
    </xf>
    <xf numFmtId="3" fontId="21" fillId="3" borderId="0" xfId="0" applyNumberFormat="1" applyFont="1" applyFill="1" applyAlignment="1">
      <alignment horizontal="right" vertical="center" wrapText="1"/>
    </xf>
    <xf numFmtId="9" fontId="1" fillId="2" borderId="0" xfId="0" applyNumberFormat="1" applyFont="1" applyFill="1" applyAlignment="1">
      <alignment horizontal="right" vertical="center" wrapText="1"/>
    </xf>
    <xf numFmtId="0" fontId="18" fillId="3" borderId="0" xfId="0" applyFont="1" applyFill="1" applyAlignment="1">
      <alignment vertical="center" wrapText="1"/>
    </xf>
    <xf numFmtId="9" fontId="18" fillId="3" borderId="0" xfId="0" applyNumberFormat="1" applyFont="1" applyFill="1" applyAlignment="1">
      <alignment horizontal="right" vertical="center" wrapText="1"/>
    </xf>
    <xf numFmtId="0" fontId="26" fillId="3" borderId="0" xfId="0" applyFont="1" applyFill="1"/>
    <xf numFmtId="0" fontId="1" fillId="12" borderId="0" xfId="0" applyFont="1" applyFill="1" applyAlignment="1">
      <alignment horizontal="left" vertical="center" wrapText="1"/>
    </xf>
    <xf numFmtId="0" fontId="1" fillId="12" borderId="0" xfId="0" applyFont="1" applyFill="1" applyAlignment="1">
      <alignment horizontal="left" vertical="center" wrapText="1"/>
    </xf>
    <xf numFmtId="3" fontId="1" fillId="12" borderId="0" xfId="0" applyNumberFormat="1" applyFont="1" applyFill="1" applyAlignment="1">
      <alignment horizontal="right" vertical="center" wrapText="1"/>
    </xf>
    <xf numFmtId="0" fontId="5" fillId="12" borderId="0" xfId="0" applyFont="1" applyFill="1"/>
    <xf numFmtId="3" fontId="16" fillId="0" borderId="0" xfId="0" applyNumberFormat="1" applyFont="1" applyAlignment="1">
      <alignment vertical="center" wrapText="1"/>
    </xf>
    <xf numFmtId="3" fontId="16" fillId="3" borderId="0" xfId="0" applyNumberFormat="1" applyFont="1" applyFill="1" applyAlignment="1">
      <alignment horizontal="right" vertical="center" wrapText="1"/>
    </xf>
    <xf numFmtId="0" fontId="10" fillId="3" borderId="0" xfId="0" applyFont="1" applyFill="1" applyAlignment="1">
      <alignment vertical="center" wrapText="1"/>
    </xf>
    <xf numFmtId="10" fontId="17" fillId="3" borderId="0" xfId="0" applyNumberFormat="1" applyFont="1" applyFill="1" applyAlignment="1">
      <alignment vertical="center"/>
    </xf>
    <xf numFmtId="3" fontId="10" fillId="3" borderId="0" xfId="0" applyNumberFormat="1" applyFont="1" applyFill="1" applyAlignment="1">
      <alignment vertical="center"/>
    </xf>
    <xf numFmtId="3" fontId="17" fillId="3" borderId="0" xfId="0" applyNumberFormat="1" applyFont="1" applyFill="1" applyAlignment="1">
      <alignment vertical="center"/>
    </xf>
    <xf numFmtId="10" fontId="5" fillId="3" borderId="0" xfId="0" applyNumberFormat="1" applyFont="1" applyFill="1" applyAlignment="1">
      <alignment vertical="center"/>
    </xf>
    <xf numFmtId="10" fontId="1" fillId="2" borderId="0" xfId="0" applyNumberFormat="1" applyFont="1" applyFill="1" applyAlignment="1">
      <alignment horizontal="right" vertical="center" wrapText="1"/>
    </xf>
    <xf numFmtId="3" fontId="1" fillId="3" borderId="0" xfId="0" applyNumberFormat="1" applyFont="1" applyFill="1" applyAlignment="1">
      <alignment vertical="center"/>
    </xf>
    <xf numFmtId="10" fontId="1" fillId="2" borderId="0" xfId="0" applyNumberFormat="1" applyFont="1" applyFill="1" applyAlignment="1">
      <alignment horizontal="right" vertical="center" wrapText="1"/>
    </xf>
    <xf numFmtId="9" fontId="1" fillId="3" borderId="0" xfId="0" applyNumberFormat="1" applyFont="1" applyFill="1" applyAlignment="1">
      <alignment horizontal="right" vertical="center" wrapText="1"/>
    </xf>
    <xf numFmtId="3" fontId="1" fillId="2" borderId="0" xfId="0" applyNumberFormat="1" applyFont="1" applyFill="1" applyAlignment="1">
      <alignment vertical="center"/>
    </xf>
    <xf numFmtId="3" fontId="1" fillId="13" borderId="0" xfId="0" applyNumberFormat="1" applyFont="1" applyFill="1" applyAlignment="1">
      <alignment horizontal="right" vertical="center"/>
    </xf>
    <xf numFmtId="3" fontId="1" fillId="0" borderId="0" xfId="0" applyNumberFormat="1" applyFont="1" applyAlignment="1">
      <alignment horizontal="right" vertical="center"/>
    </xf>
    <xf numFmtId="0" fontId="5" fillId="2" borderId="0" xfId="0" applyFont="1" applyFill="1"/>
    <xf numFmtId="49" fontId="10" fillId="3" borderId="0" xfId="0" applyNumberFormat="1" applyFont="1" applyFill="1" applyAlignment="1">
      <alignment horizontal="center" vertical="center" wrapText="1"/>
    </xf>
    <xf numFmtId="0" fontId="1" fillId="3" borderId="0" xfId="0" applyFont="1" applyFill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1" fillId="14" borderId="0" xfId="0" applyFont="1" applyFill="1" applyAlignment="1">
      <alignment horizontal="left" vertical="center" wrapText="1"/>
    </xf>
    <xf numFmtId="3" fontId="1" fillId="14" borderId="0" xfId="0" applyNumberFormat="1" applyFont="1" applyFill="1" applyAlignment="1">
      <alignment horizontal="right" vertical="center" wrapText="1"/>
    </xf>
    <xf numFmtId="3" fontId="1" fillId="14" borderId="0" xfId="0" applyNumberFormat="1" applyFont="1" applyFill="1" applyAlignment="1">
      <alignment horizontal="center" vertical="center"/>
    </xf>
    <xf numFmtId="0" fontId="28" fillId="3" borderId="0" xfId="0" applyFont="1" applyFill="1" applyAlignment="1">
      <alignment vertical="top" wrapText="1"/>
    </xf>
    <xf numFmtId="3" fontId="28" fillId="2" borderId="0" xfId="0" applyNumberFormat="1" applyFont="1" applyFill="1" applyAlignment="1">
      <alignment horizontal="right" vertical="top" wrapText="1"/>
    </xf>
    <xf numFmtId="4" fontId="15" fillId="3" borderId="0" xfId="0" applyNumberFormat="1" applyFont="1" applyFill="1" applyAlignment="1">
      <alignment vertical="top"/>
    </xf>
    <xf numFmtId="3" fontId="28" fillId="3" borderId="0" xfId="0" applyNumberFormat="1" applyFont="1" applyFill="1" applyAlignment="1">
      <alignment vertical="top" wrapText="1"/>
    </xf>
    <xf numFmtId="3" fontId="15" fillId="3" borderId="0" xfId="0" applyNumberFormat="1" applyFont="1" applyFill="1" applyAlignment="1">
      <alignment vertical="top"/>
    </xf>
    <xf numFmtId="3" fontId="28" fillId="3" borderId="0" xfId="0" applyNumberFormat="1" applyFont="1" applyFill="1" applyAlignment="1">
      <alignment horizontal="right" vertical="top" wrapText="1"/>
    </xf>
    <xf numFmtId="3" fontId="10" fillId="0" borderId="0" xfId="0" applyNumberFormat="1" applyFont="1" applyAlignment="1">
      <alignment vertical="center" wrapText="1"/>
    </xf>
    <xf numFmtId="3" fontId="10" fillId="14" borderId="0" xfId="0" applyNumberFormat="1" applyFont="1" applyFill="1" applyAlignment="1">
      <alignment vertical="center" wrapText="1"/>
    </xf>
    <xf numFmtId="3" fontId="1" fillId="14" borderId="0" xfId="0" applyNumberFormat="1" applyFont="1" applyFill="1" applyAlignment="1">
      <alignment vertical="center"/>
    </xf>
    <xf numFmtId="3" fontId="1" fillId="15" borderId="0" xfId="0" applyNumberFormat="1" applyFont="1" applyFill="1" applyAlignment="1">
      <alignment horizontal="right" vertical="center" wrapText="1"/>
    </xf>
    <xf numFmtId="3" fontId="9" fillId="4" borderId="0" xfId="0" applyNumberFormat="1" applyFont="1" applyFill="1" applyAlignment="1">
      <alignment horizontal="right" vertical="center" wrapText="1"/>
    </xf>
    <xf numFmtId="3" fontId="27" fillId="3" borderId="0" xfId="0" applyNumberFormat="1" applyFont="1" applyFill="1" applyAlignment="1">
      <alignment vertical="top" wrapText="1"/>
    </xf>
    <xf numFmtId="3" fontId="10" fillId="3" borderId="0" xfId="0" applyNumberFormat="1" applyFont="1" applyFill="1" applyAlignment="1">
      <alignment horizontal="right" vertical="center" wrapText="1"/>
    </xf>
    <xf numFmtId="3" fontId="27" fillId="3" borderId="0" xfId="0" applyNumberFormat="1" applyFont="1" applyFill="1" applyAlignment="1">
      <alignment vertical="top" wrapText="1"/>
    </xf>
    <xf numFmtId="3" fontId="10" fillId="3" borderId="0" xfId="0" applyNumberFormat="1" applyFont="1" applyFill="1" applyAlignment="1">
      <alignment horizontal="right" vertical="center" wrapText="1"/>
    </xf>
    <xf numFmtId="3" fontId="10" fillId="3" borderId="0" xfId="0" applyNumberFormat="1" applyFont="1" applyFill="1" applyAlignment="1">
      <alignment vertical="center" wrapText="1"/>
    </xf>
    <xf numFmtId="3" fontId="10" fillId="3" borderId="0" xfId="0" applyNumberFormat="1" applyFont="1" applyFill="1" applyAlignment="1">
      <alignment vertical="center" wrapText="1"/>
    </xf>
    <xf numFmtId="166" fontId="1" fillId="0" borderId="0" xfId="0" applyNumberFormat="1" applyFont="1" applyAlignment="1">
      <alignment horizontal="left" vertical="center" wrapText="1"/>
    </xf>
    <xf numFmtId="0" fontId="10" fillId="0" borderId="0" xfId="0" applyFont="1" applyAlignment="1">
      <alignment vertical="center"/>
    </xf>
    <xf numFmtId="4" fontId="10" fillId="14" borderId="0" xfId="0" applyNumberFormat="1" applyFont="1" applyFill="1" applyAlignment="1">
      <alignment vertical="center" wrapText="1"/>
    </xf>
    <xf numFmtId="3" fontId="10" fillId="14" borderId="0" xfId="0" applyNumberFormat="1" applyFont="1" applyFill="1" applyAlignment="1">
      <alignment vertical="center"/>
    </xf>
    <xf numFmtId="4" fontId="1" fillId="15" borderId="0" xfId="0" applyNumberFormat="1" applyFont="1" applyFill="1" applyAlignment="1">
      <alignment vertical="center"/>
    </xf>
    <xf numFmtId="3" fontId="29" fillId="4" borderId="0" xfId="0" applyNumberFormat="1" applyFont="1" applyFill="1" applyAlignment="1">
      <alignment wrapText="1"/>
    </xf>
    <xf numFmtId="3" fontId="29" fillId="4" borderId="0" xfId="0" applyNumberFormat="1" applyFont="1" applyFill="1" applyAlignment="1">
      <alignment horizontal="center" wrapText="1"/>
    </xf>
    <xf numFmtId="3" fontId="10" fillId="4" borderId="0" xfId="0" applyNumberFormat="1" applyFont="1" applyFill="1" applyAlignment="1">
      <alignment horizontal="center" vertical="center"/>
    </xf>
    <xf numFmtId="0" fontId="5" fillId="15" borderId="0" xfId="0" applyFont="1" applyFill="1"/>
    <xf numFmtId="3" fontId="1" fillId="0" borderId="0" xfId="0" applyNumberFormat="1" applyFont="1" applyAlignment="1">
      <alignment vertical="top" wrapText="1"/>
    </xf>
    <xf numFmtId="165" fontId="1" fillId="3" borderId="0" xfId="0" applyNumberFormat="1" applyFont="1" applyFill="1" applyAlignment="1">
      <alignment horizontal="center" vertical="top"/>
    </xf>
    <xf numFmtId="4" fontId="1" fillId="3" borderId="0" xfId="0" applyNumberFormat="1" applyFont="1" applyFill="1" applyAlignment="1">
      <alignment horizontal="right" vertical="top"/>
    </xf>
    <xf numFmtId="10" fontId="1" fillId="3" borderId="0" xfId="0" applyNumberFormat="1" applyFont="1" applyFill="1" applyAlignment="1">
      <alignment horizontal="right" vertical="top"/>
    </xf>
    <xf numFmtId="3" fontId="1" fillId="0" borderId="2" xfId="0" applyNumberFormat="1" applyFont="1" applyBorder="1" applyAlignment="1">
      <alignment vertical="top" wrapText="1"/>
    </xf>
    <xf numFmtId="165" fontId="1" fillId="3" borderId="2" xfId="0" applyNumberFormat="1" applyFont="1" applyFill="1" applyBorder="1" applyAlignment="1">
      <alignment horizontal="center" vertical="top"/>
    </xf>
    <xf numFmtId="3" fontId="1" fillId="3" borderId="0" xfId="0" applyNumberFormat="1" applyFont="1" applyFill="1" applyAlignment="1">
      <alignment horizontal="right" vertical="top"/>
    </xf>
    <xf numFmtId="0" fontId="17" fillId="0" borderId="0" xfId="0" applyFont="1"/>
    <xf numFmtId="0" fontId="10" fillId="0" borderId="0" xfId="0" applyFont="1" applyAlignment="1"/>
    <xf numFmtId="3" fontId="10" fillId="0" borderId="0" xfId="0" applyNumberFormat="1" applyFont="1"/>
    <xf numFmtId="0" fontId="5" fillId="0" borderId="0" xfId="0" applyFont="1" applyAlignment="1"/>
    <xf numFmtId="3" fontId="5" fillId="0" borderId="0" xfId="0" applyNumberFormat="1" applyFont="1"/>
    <xf numFmtId="0" fontId="5" fillId="14" borderId="0" xfId="0" applyFont="1" applyFill="1"/>
    <xf numFmtId="0" fontId="5" fillId="14" borderId="0" xfId="0" applyFont="1" applyFill="1" applyAlignment="1"/>
    <xf numFmtId="3" fontId="5" fillId="14" borderId="0" xfId="0" applyNumberFormat="1" applyFont="1" applyFill="1"/>
    <xf numFmtId="0" fontId="5" fillId="0" borderId="3" xfId="0" applyFont="1" applyBorder="1"/>
    <xf numFmtId="0" fontId="30" fillId="0" borderId="0" xfId="0" applyFont="1"/>
    <xf numFmtId="0" fontId="31" fillId="3" borderId="0" xfId="0" applyFont="1" applyFill="1"/>
    <xf numFmtId="49" fontId="11" fillId="3" borderId="0" xfId="0" applyNumberFormat="1" applyFont="1" applyFill="1" applyAlignment="1">
      <alignment horizontal="center" vertical="center" wrapText="1"/>
    </xf>
    <xf numFmtId="3" fontId="10" fillId="4" borderId="0" xfId="0" applyNumberFormat="1" applyFont="1" applyFill="1" applyAlignment="1">
      <alignment horizontal="right" vertical="center" wrapText="1"/>
    </xf>
    <xf numFmtId="0" fontId="5" fillId="0" borderId="0" xfId="0" applyFont="1" applyAlignment="1">
      <alignment horizontal="right"/>
    </xf>
    <xf numFmtId="3" fontId="9" fillId="0" borderId="0" xfId="0" applyNumberFormat="1" applyFont="1" applyAlignment="1">
      <alignment vertical="center" wrapText="1"/>
    </xf>
    <xf numFmtId="3" fontId="10" fillId="0" borderId="0" xfId="0" applyNumberFormat="1" applyFont="1" applyAlignment="1">
      <alignment horizontal="right" vertical="center" wrapText="1"/>
    </xf>
    <xf numFmtId="3" fontId="10" fillId="0" borderId="0" xfId="0" applyNumberFormat="1" applyFont="1" applyAlignment="1">
      <alignment horizontal="right" vertical="center" wrapText="1"/>
    </xf>
    <xf numFmtId="3" fontId="10" fillId="4" borderId="0" xfId="0" applyNumberFormat="1" applyFont="1" applyFill="1" applyAlignment="1">
      <alignment horizontal="right" vertical="center" wrapText="1"/>
    </xf>
    <xf numFmtId="3" fontId="10" fillId="4" borderId="0" xfId="0" applyNumberFormat="1" applyFont="1" applyFill="1" applyAlignment="1">
      <alignment vertical="center"/>
    </xf>
    <xf numFmtId="3" fontId="3" fillId="3" borderId="0" xfId="0" applyNumberFormat="1" applyFont="1" applyFill="1" applyAlignment="1">
      <alignment vertical="center"/>
    </xf>
    <xf numFmtId="4" fontId="1" fillId="3" borderId="0" xfId="0" applyNumberFormat="1" applyFont="1" applyFill="1" applyAlignment="1">
      <alignment vertical="center"/>
    </xf>
    <xf numFmtId="3" fontId="10" fillId="16" borderId="0" xfId="0" applyNumberFormat="1" applyFont="1" applyFill="1" applyAlignment="1">
      <alignment vertical="center"/>
    </xf>
    <xf numFmtId="3" fontId="10" fillId="4" borderId="0" xfId="0" applyNumberFormat="1" applyFont="1" applyFill="1" applyAlignment="1">
      <alignment vertical="center"/>
    </xf>
    <xf numFmtId="3" fontId="10" fillId="3" borderId="0" xfId="0" applyNumberFormat="1" applyFont="1" applyFill="1" applyAlignment="1">
      <alignment vertical="center"/>
    </xf>
    <xf numFmtId="3" fontId="26" fillId="3" borderId="0" xfId="0" applyNumberFormat="1" applyFont="1" applyFill="1" applyAlignment="1">
      <alignment vertical="center" wrapText="1"/>
    </xf>
    <xf numFmtId="4" fontId="10" fillId="4" borderId="0" xfId="0" applyNumberFormat="1" applyFont="1" applyFill="1" applyAlignment="1">
      <alignment vertical="center"/>
    </xf>
    <xf numFmtId="3" fontId="10" fillId="3" borderId="0" xfId="0" applyNumberFormat="1" applyFont="1" applyFill="1" applyAlignment="1">
      <alignment vertical="top" wrapText="1"/>
    </xf>
    <xf numFmtId="3" fontId="6" fillId="3" borderId="0" xfId="0" applyNumberFormat="1" applyFont="1" applyFill="1" applyAlignment="1">
      <alignment vertical="center"/>
    </xf>
    <xf numFmtId="3" fontId="10" fillId="3" borderId="4" xfId="0" applyNumberFormat="1" applyFont="1" applyFill="1" applyBorder="1" applyAlignment="1">
      <alignment vertical="center" wrapText="1"/>
    </xf>
    <xf numFmtId="3" fontId="10" fillId="2" borderId="4" xfId="0" applyNumberFormat="1" applyFont="1" applyFill="1" applyBorder="1" applyAlignment="1">
      <alignment vertical="center" wrapText="1"/>
    </xf>
    <xf numFmtId="3" fontId="6" fillId="3" borderId="0" xfId="0" applyNumberFormat="1" applyFont="1" applyFill="1" applyAlignment="1">
      <alignment vertical="center" wrapText="1"/>
    </xf>
    <xf numFmtId="0" fontId="17" fillId="3" borderId="0" xfId="0" applyFont="1" applyFill="1" applyAlignment="1">
      <alignment wrapText="1"/>
    </xf>
    <xf numFmtId="0" fontId="31" fillId="3" borderId="4" xfId="0" applyFont="1" applyFill="1" applyBorder="1" applyAlignment="1"/>
    <xf numFmtId="3" fontId="31" fillId="3" borderId="4" xfId="0" applyNumberFormat="1" applyFont="1" applyFill="1" applyBorder="1" applyAlignment="1"/>
    <xf numFmtId="9" fontId="31" fillId="3" borderId="4" xfId="0" applyNumberFormat="1" applyFont="1" applyFill="1" applyBorder="1" applyAlignment="1"/>
    <xf numFmtId="3" fontId="31" fillId="2" borderId="4" xfId="0" applyNumberFormat="1" applyFont="1" applyFill="1" applyBorder="1" applyAlignment="1"/>
    <xf numFmtId="3" fontId="31" fillId="16" borderId="4" xfId="0" applyNumberFormat="1" applyFont="1" applyFill="1" applyBorder="1" applyAlignment="1"/>
    <xf numFmtId="3" fontId="31" fillId="16" borderId="4" xfId="0" applyNumberFormat="1" applyFont="1" applyFill="1" applyBorder="1" applyAlignment="1">
      <alignment horizontal="center"/>
    </xf>
    <xf numFmtId="0" fontId="30" fillId="3" borderId="0" xfId="0" applyFont="1" applyFill="1"/>
    <xf numFmtId="0" fontId="31" fillId="0" borderId="0" xfId="0" applyFont="1" applyAlignment="1"/>
    <xf numFmtId="3" fontId="31" fillId="0" borderId="0" xfId="0" applyNumberFormat="1" applyFont="1" applyAlignment="1"/>
    <xf numFmtId="3" fontId="31" fillId="0" borderId="0" xfId="0" applyNumberFormat="1" applyFont="1"/>
    <xf numFmtId="3" fontId="9" fillId="3" borderId="1" xfId="0" applyNumberFormat="1" applyFont="1" applyFill="1" applyBorder="1" applyAlignment="1">
      <alignment horizontal="right" vertical="center" wrapText="1"/>
    </xf>
    <xf numFmtId="3" fontId="1" fillId="13" borderId="0" xfId="0" applyNumberFormat="1" applyFont="1" applyFill="1" applyAlignment="1">
      <alignment horizontal="right" vertical="center"/>
    </xf>
    <xf numFmtId="3" fontId="10" fillId="14" borderId="0" xfId="0" applyNumberFormat="1" applyFont="1" applyFill="1" applyAlignment="1">
      <alignment vertical="center" wrapText="1"/>
    </xf>
    <xf numFmtId="3" fontId="1" fillId="2" borderId="0" xfId="0" applyNumberFormat="1" applyFont="1" applyFill="1" applyAlignment="1">
      <alignment horizontal="right" vertical="center" wrapText="1"/>
    </xf>
    <xf numFmtId="3" fontId="1" fillId="4" borderId="0" xfId="0" applyNumberFormat="1" applyFont="1" applyFill="1" applyAlignment="1">
      <alignment horizontal="right" vertical="center" wrapText="1"/>
    </xf>
    <xf numFmtId="3" fontId="1" fillId="17" borderId="0" xfId="0" applyNumberFormat="1" applyFont="1" applyFill="1" applyAlignment="1">
      <alignment horizontal="right" vertical="center" wrapText="1"/>
    </xf>
    <xf numFmtId="0" fontId="10" fillId="3" borderId="0" xfId="0" applyFont="1" applyFill="1" applyAlignment="1">
      <alignment horizontal="left" vertical="center" wrapText="1"/>
    </xf>
    <xf numFmtId="3" fontId="10" fillId="17" borderId="0" xfId="0" applyNumberFormat="1" applyFont="1" applyFill="1" applyAlignment="1">
      <alignment horizontal="right" vertical="center" wrapText="1"/>
    </xf>
    <xf numFmtId="3" fontId="1" fillId="17" borderId="0" xfId="0" applyNumberFormat="1" applyFont="1" applyFill="1" applyAlignment="1">
      <alignment horizontal="right" vertical="center" wrapText="1"/>
    </xf>
    <xf numFmtId="0" fontId="1" fillId="3" borderId="0" xfId="0" applyFont="1" applyFill="1" applyAlignment="1">
      <alignment horizontal="left" vertical="center" wrapText="1"/>
    </xf>
    <xf numFmtId="3" fontId="10" fillId="17" borderId="0" xfId="0" applyNumberFormat="1" applyFont="1" applyFill="1" applyAlignment="1">
      <alignment horizontal="right" vertical="center" wrapText="1"/>
    </xf>
    <xf numFmtId="3" fontId="1" fillId="3" borderId="1" xfId="0" applyNumberFormat="1" applyFont="1" applyFill="1" applyBorder="1" applyAlignment="1">
      <alignment horizontal="right" vertical="center" wrapText="1"/>
    </xf>
    <xf numFmtId="3" fontId="1" fillId="17" borderId="0" xfId="0" applyNumberFormat="1" applyFont="1" applyFill="1" applyAlignment="1">
      <alignment vertical="center"/>
    </xf>
    <xf numFmtId="3" fontId="10" fillId="3" borderId="1" xfId="0" applyNumberFormat="1" applyFont="1" applyFill="1" applyBorder="1" applyAlignment="1">
      <alignment horizontal="right" vertical="center" wrapText="1"/>
    </xf>
    <xf numFmtId="0" fontId="10" fillId="0" borderId="0" xfId="0" applyFont="1" applyAlignment="1">
      <alignment horizontal="left" vertical="center" wrapText="1"/>
    </xf>
    <xf numFmtId="0" fontId="10" fillId="3" borderId="0" xfId="0" applyFont="1" applyFill="1" applyAlignment="1">
      <alignment horizontal="left" vertical="center" wrapText="1"/>
    </xf>
    <xf numFmtId="3" fontId="1" fillId="3" borderId="1" xfId="0" applyNumberFormat="1" applyFont="1" applyFill="1" applyBorder="1" applyAlignment="1">
      <alignment vertical="center"/>
    </xf>
    <xf numFmtId="3" fontId="1" fillId="15" borderId="1" xfId="0" applyNumberFormat="1" applyFont="1" applyFill="1" applyBorder="1" applyAlignment="1">
      <alignment horizontal="right" vertical="center" wrapText="1"/>
    </xf>
    <xf numFmtId="3" fontId="1" fillId="3" borderId="3" xfId="0" applyNumberFormat="1" applyFont="1" applyFill="1" applyBorder="1" applyAlignment="1">
      <alignment horizontal="right" vertical="center" wrapText="1"/>
    </xf>
    <xf numFmtId="0" fontId="5" fillId="0" borderId="3" xfId="0" applyFont="1" applyBorder="1" applyAlignment="1">
      <alignment vertical="center"/>
    </xf>
    <xf numFmtId="4" fontId="1" fillId="3" borderId="3" xfId="0" applyNumberFormat="1" applyFont="1" applyFill="1" applyBorder="1" applyAlignment="1">
      <alignment vertical="center"/>
    </xf>
    <xf numFmtId="3" fontId="10" fillId="5" borderId="1" xfId="0" applyNumberFormat="1" applyFont="1" applyFill="1" applyBorder="1" applyAlignment="1">
      <alignment horizontal="right" vertical="center" wrapText="1"/>
    </xf>
    <xf numFmtId="3" fontId="10" fillId="3" borderId="3" xfId="0" applyNumberFormat="1" applyFont="1" applyFill="1" applyBorder="1" applyAlignment="1">
      <alignment horizontal="center" vertical="center" wrapText="1"/>
    </xf>
    <xf numFmtId="3" fontId="9" fillId="6" borderId="3" xfId="0" applyNumberFormat="1" applyFont="1" applyFill="1" applyBorder="1" applyAlignment="1">
      <alignment horizontal="right" vertical="center" wrapText="1"/>
    </xf>
    <xf numFmtId="3" fontId="9" fillId="6" borderId="1" xfId="0" applyNumberFormat="1" applyFont="1" applyFill="1" applyBorder="1" applyAlignment="1">
      <alignment horizontal="right" vertical="center" wrapText="1"/>
    </xf>
    <xf numFmtId="3" fontId="1" fillId="0" borderId="3" xfId="0" applyNumberFormat="1" applyFont="1" applyBorder="1" applyAlignment="1">
      <alignment horizontal="right" vertical="center" wrapText="1"/>
    </xf>
    <xf numFmtId="3" fontId="1" fillId="0" borderId="1" xfId="0" applyNumberFormat="1" applyFont="1" applyBorder="1" applyAlignment="1">
      <alignment horizontal="right" vertical="center" wrapText="1"/>
    </xf>
    <xf numFmtId="3" fontId="9" fillId="4" borderId="3" xfId="0" applyNumberFormat="1" applyFont="1" applyFill="1" applyBorder="1" applyAlignment="1">
      <alignment horizontal="right" vertical="center" wrapText="1"/>
    </xf>
    <xf numFmtId="3" fontId="9" fillId="4" borderId="1" xfId="0" applyNumberFormat="1" applyFont="1" applyFill="1" applyBorder="1" applyAlignment="1">
      <alignment horizontal="right" vertical="center" wrapText="1"/>
    </xf>
    <xf numFmtId="3" fontId="1" fillId="9" borderId="3" xfId="0" applyNumberFormat="1" applyFont="1" applyFill="1" applyBorder="1" applyAlignment="1">
      <alignment vertical="center"/>
    </xf>
    <xf numFmtId="3" fontId="3" fillId="9" borderId="1" xfId="0" applyNumberFormat="1" applyFont="1" applyFill="1" applyBorder="1" applyAlignment="1">
      <alignment vertical="center"/>
    </xf>
    <xf numFmtId="4" fontId="1" fillId="2" borderId="3" xfId="0" applyNumberFormat="1" applyFont="1" applyFill="1" applyBorder="1" applyAlignment="1">
      <alignment vertical="center"/>
    </xf>
    <xf numFmtId="3" fontId="1" fillId="3" borderId="3" xfId="0" applyNumberFormat="1" applyFont="1" applyFill="1" applyBorder="1" applyAlignment="1">
      <alignment vertical="center"/>
    </xf>
    <xf numFmtId="3" fontId="1" fillId="12" borderId="0" xfId="0" applyNumberFormat="1" applyFont="1" applyFill="1" applyAlignment="1">
      <alignment vertical="center"/>
    </xf>
    <xf numFmtId="3" fontId="1" fillId="14" borderId="0" xfId="0" applyNumberFormat="1" applyFont="1" applyFill="1" applyAlignment="1">
      <alignment vertical="center"/>
    </xf>
    <xf numFmtId="3" fontId="5" fillId="3" borderId="0" xfId="0" applyNumberFormat="1" applyFont="1" applyFill="1" applyAlignment="1">
      <alignment horizontal="center" vertical="center"/>
    </xf>
    <xf numFmtId="3" fontId="23" fillId="3" borderId="0" xfId="0" applyNumberFormat="1" applyFont="1" applyFill="1" applyAlignment="1">
      <alignment vertical="center"/>
    </xf>
    <xf numFmtId="3" fontId="23" fillId="3" borderId="0" xfId="0" applyNumberFormat="1" applyFont="1" applyFill="1" applyAlignment="1">
      <alignment vertical="center"/>
    </xf>
    <xf numFmtId="3" fontId="1" fillId="9" borderId="3" xfId="0" applyNumberFormat="1" applyFont="1" applyFill="1" applyBorder="1" applyAlignment="1">
      <alignment vertical="center"/>
    </xf>
    <xf numFmtId="3" fontId="3" fillId="9" borderId="0" xfId="0" applyNumberFormat="1" applyFont="1" applyFill="1" applyAlignment="1">
      <alignment vertical="center"/>
    </xf>
    <xf numFmtId="4" fontId="1" fillId="2" borderId="0" xfId="0" applyNumberFormat="1" applyFont="1" applyFill="1" applyAlignment="1">
      <alignment horizontal="center" vertical="center" wrapText="1"/>
    </xf>
    <xf numFmtId="3" fontId="1" fillId="3" borderId="3" xfId="0" applyNumberFormat="1" applyFont="1" applyFill="1" applyBorder="1" applyAlignment="1">
      <alignment vertical="center"/>
    </xf>
    <xf numFmtId="3" fontId="1" fillId="18" borderId="0" xfId="0" applyNumberFormat="1" applyFont="1" applyFill="1" applyAlignment="1">
      <alignment vertical="center"/>
    </xf>
    <xf numFmtId="3" fontId="1" fillId="18" borderId="3" xfId="0" applyNumberFormat="1" applyFont="1" applyFill="1" applyBorder="1" applyAlignment="1">
      <alignment vertical="center"/>
    </xf>
    <xf numFmtId="3" fontId="5" fillId="3" borderId="0" xfId="0" applyNumberFormat="1" applyFont="1" applyFill="1" applyAlignment="1">
      <alignment vertical="center" wrapText="1"/>
    </xf>
    <xf numFmtId="3" fontId="9" fillId="3" borderId="3" xfId="0" applyNumberFormat="1" applyFont="1" applyFill="1" applyBorder="1" applyAlignment="1">
      <alignment horizontal="right" vertical="center" wrapText="1"/>
    </xf>
    <xf numFmtId="3" fontId="9" fillId="9" borderId="3" xfId="0" applyNumberFormat="1" applyFont="1" applyFill="1" applyBorder="1" applyAlignment="1">
      <alignment horizontal="right" vertical="center" wrapText="1"/>
    </xf>
    <xf numFmtId="3" fontId="9" fillId="9" borderId="1" xfId="0" applyNumberFormat="1" applyFont="1" applyFill="1" applyBorder="1" applyAlignment="1">
      <alignment horizontal="right" vertical="center" wrapText="1"/>
    </xf>
    <xf numFmtId="3" fontId="5" fillId="3" borderId="1" xfId="0" applyNumberFormat="1" applyFont="1" applyFill="1" applyBorder="1" applyAlignment="1">
      <alignment vertical="center"/>
    </xf>
    <xf numFmtId="1" fontId="1" fillId="2" borderId="0" xfId="0" applyNumberFormat="1" applyFont="1" applyFill="1" applyAlignment="1">
      <alignment horizontal="center" vertical="center" wrapText="1"/>
    </xf>
    <xf numFmtId="3" fontId="1" fillId="12" borderId="0" xfId="0" applyNumberFormat="1" applyFont="1" applyFill="1" applyAlignment="1">
      <alignment vertical="center"/>
    </xf>
    <xf numFmtId="3" fontId="10" fillId="9" borderId="1" xfId="0" applyNumberFormat="1" applyFont="1" applyFill="1" applyBorder="1" applyAlignment="1">
      <alignment vertical="center"/>
    </xf>
    <xf numFmtId="3" fontId="10" fillId="9" borderId="3" xfId="0" applyNumberFormat="1" applyFont="1" applyFill="1" applyBorder="1" applyAlignment="1">
      <alignment vertical="center"/>
    </xf>
    <xf numFmtId="10" fontId="18" fillId="3" borderId="3" xfId="0" applyNumberFormat="1" applyFont="1" applyFill="1" applyBorder="1" applyAlignment="1">
      <alignment horizontal="right" vertical="center" wrapText="1"/>
    </xf>
    <xf numFmtId="10" fontId="18" fillId="3" borderId="1" xfId="0" applyNumberFormat="1" applyFont="1" applyFill="1" applyBorder="1" applyAlignment="1">
      <alignment horizontal="right" vertical="center" wrapText="1"/>
    </xf>
    <xf numFmtId="3" fontId="10" fillId="10" borderId="3" xfId="0" applyNumberFormat="1" applyFont="1" applyFill="1" applyBorder="1" applyAlignment="1">
      <alignment horizontal="right" vertical="center" wrapText="1"/>
    </xf>
    <xf numFmtId="3" fontId="33" fillId="10" borderId="1" xfId="0" applyNumberFormat="1" applyFont="1" applyFill="1" applyBorder="1" applyAlignment="1">
      <alignment horizontal="right" vertical="center" wrapText="1"/>
    </xf>
    <xf numFmtId="164" fontId="18" fillId="3" borderId="3" xfId="0" applyNumberFormat="1" applyFont="1" applyFill="1" applyBorder="1" applyAlignment="1">
      <alignment horizontal="right" vertical="center" wrapText="1"/>
    </xf>
    <xf numFmtId="164" fontId="18" fillId="3" borderId="1" xfId="0" applyNumberFormat="1" applyFont="1" applyFill="1" applyBorder="1" applyAlignment="1">
      <alignment horizontal="right" vertical="center" wrapText="1"/>
    </xf>
    <xf numFmtId="3" fontId="18" fillId="3" borderId="3" xfId="0" applyNumberFormat="1" applyFont="1" applyFill="1" applyBorder="1" applyAlignment="1">
      <alignment horizontal="right" vertical="center" wrapText="1"/>
    </xf>
    <xf numFmtId="164" fontId="18" fillId="11" borderId="3" xfId="0" applyNumberFormat="1" applyFont="1" applyFill="1" applyBorder="1" applyAlignment="1">
      <alignment horizontal="right" vertical="center" wrapText="1"/>
    </xf>
    <xf numFmtId="3" fontId="20" fillId="2" borderId="0" xfId="0" applyNumberFormat="1" applyFont="1" applyFill="1" applyAlignment="1">
      <alignment horizontal="right" vertical="center" wrapText="1"/>
    </xf>
    <xf numFmtId="3" fontId="20" fillId="0" borderId="3" xfId="0" applyNumberFormat="1" applyFont="1" applyBorder="1" applyAlignment="1">
      <alignment horizontal="right" vertical="center" wrapText="1"/>
    </xf>
    <xf numFmtId="3" fontId="34" fillId="0" borderId="1" xfId="0" applyNumberFormat="1" applyFont="1" applyBorder="1" applyAlignment="1">
      <alignment horizontal="right" vertical="center" wrapText="1"/>
    </xf>
    <xf numFmtId="3" fontId="21" fillId="2" borderId="0" xfId="0" applyNumberFormat="1" applyFont="1" applyFill="1" applyAlignment="1">
      <alignment horizontal="right" vertical="center" wrapText="1"/>
    </xf>
    <xf numFmtId="9" fontId="21" fillId="2" borderId="0" xfId="0" applyNumberFormat="1" applyFont="1" applyFill="1" applyAlignment="1">
      <alignment horizontal="right" vertical="center" wrapText="1"/>
    </xf>
    <xf numFmtId="9" fontId="21" fillId="2" borderId="3" xfId="0" applyNumberFormat="1" applyFont="1" applyFill="1" applyBorder="1" applyAlignment="1">
      <alignment horizontal="right" vertical="center" wrapText="1"/>
    </xf>
    <xf numFmtId="3" fontId="35" fillId="0" borderId="1" xfId="0" applyNumberFormat="1" applyFont="1" applyBorder="1" applyAlignment="1">
      <alignment horizontal="right" vertical="center" wrapText="1"/>
    </xf>
    <xf numFmtId="0" fontId="22" fillId="0" borderId="0" xfId="0" applyFont="1"/>
    <xf numFmtId="3" fontId="3" fillId="3" borderId="1" xfId="0" applyNumberFormat="1" applyFont="1" applyFill="1" applyBorder="1" applyAlignment="1">
      <alignment vertical="center"/>
    </xf>
    <xf numFmtId="0" fontId="9" fillId="10" borderId="0" xfId="0" applyFont="1" applyFill="1" applyAlignment="1">
      <alignment vertical="center" wrapText="1"/>
    </xf>
    <xf numFmtId="3" fontId="9" fillId="10" borderId="3" xfId="0" applyNumberFormat="1" applyFont="1" applyFill="1" applyBorder="1" applyAlignment="1">
      <alignment horizontal="right" vertical="center" wrapText="1"/>
    </xf>
    <xf numFmtId="3" fontId="9" fillId="10" borderId="1" xfId="0" applyNumberFormat="1" applyFont="1" applyFill="1" applyBorder="1" applyAlignment="1">
      <alignment horizontal="right" vertical="center" wrapText="1"/>
    </xf>
    <xf numFmtId="3" fontId="10" fillId="9" borderId="3" xfId="0" applyNumberFormat="1" applyFont="1" applyFill="1" applyBorder="1" applyAlignment="1">
      <alignment horizontal="right" vertical="center" wrapText="1"/>
    </xf>
    <xf numFmtId="3" fontId="10" fillId="9" borderId="1" xfId="0" applyNumberFormat="1" applyFont="1" applyFill="1" applyBorder="1" applyAlignment="1">
      <alignment horizontal="right" vertical="center" wrapText="1"/>
    </xf>
    <xf numFmtId="3" fontId="1" fillId="3" borderId="3" xfId="0" applyNumberFormat="1" applyFont="1" applyFill="1" applyBorder="1" applyAlignment="1">
      <alignment horizontal="right" vertical="center" wrapText="1"/>
    </xf>
    <xf numFmtId="3" fontId="21" fillId="3" borderId="3" xfId="0" applyNumberFormat="1" applyFont="1" applyFill="1" applyBorder="1" applyAlignment="1">
      <alignment horizontal="right" vertical="center" wrapText="1"/>
    </xf>
    <xf numFmtId="9" fontId="21" fillId="3" borderId="3" xfId="0" applyNumberFormat="1" applyFont="1" applyFill="1" applyBorder="1" applyAlignment="1">
      <alignment horizontal="right" vertical="center" wrapText="1"/>
    </xf>
    <xf numFmtId="10" fontId="21" fillId="3" borderId="0" xfId="0" applyNumberFormat="1" applyFont="1" applyFill="1" applyAlignment="1">
      <alignment horizontal="right" vertical="center" wrapText="1"/>
    </xf>
    <xf numFmtId="3" fontId="16" fillId="2" borderId="0" xfId="0" applyNumberFormat="1" applyFont="1" applyFill="1" applyAlignment="1">
      <alignment horizontal="right" vertical="center" wrapText="1"/>
    </xf>
    <xf numFmtId="3" fontId="16" fillId="3" borderId="3" xfId="0" applyNumberFormat="1" applyFont="1" applyFill="1" applyBorder="1" applyAlignment="1">
      <alignment horizontal="right" vertical="center" wrapText="1"/>
    </xf>
    <xf numFmtId="3" fontId="16" fillId="3" borderId="1" xfId="0" applyNumberFormat="1" applyFont="1" applyFill="1" applyBorder="1" applyAlignment="1">
      <alignment horizontal="right" vertical="center" wrapText="1"/>
    </xf>
    <xf numFmtId="3" fontId="10" fillId="3" borderId="3" xfId="0" applyNumberFormat="1" applyFont="1" applyFill="1" applyBorder="1" applyAlignment="1">
      <alignment vertical="center"/>
    </xf>
    <xf numFmtId="3" fontId="17" fillId="3" borderId="1" xfId="0" applyNumberFormat="1" applyFont="1" applyFill="1" applyBorder="1" applyAlignment="1">
      <alignment vertical="center"/>
    </xf>
    <xf numFmtId="3" fontId="1" fillId="3" borderId="5" xfId="0" applyNumberFormat="1" applyFont="1" applyFill="1" applyBorder="1" applyAlignment="1">
      <alignment horizontal="right" vertical="center" wrapText="1"/>
    </xf>
    <xf numFmtId="3" fontId="1" fillId="3" borderId="6" xfId="0" applyNumberFormat="1" applyFont="1" applyFill="1" applyBorder="1" applyAlignment="1">
      <alignment horizontal="right" vertical="center" wrapText="1"/>
    </xf>
    <xf numFmtId="3" fontId="1" fillId="3" borderId="7" xfId="0" applyNumberFormat="1" applyFont="1" applyFill="1" applyBorder="1" applyAlignment="1">
      <alignment horizontal="right" vertical="center" wrapText="1"/>
    </xf>
    <xf numFmtId="3" fontId="1" fillId="19" borderId="0" xfId="0" applyNumberFormat="1" applyFont="1" applyFill="1" applyAlignment="1">
      <alignment horizontal="right" vertical="center" wrapText="1"/>
    </xf>
    <xf numFmtId="164" fontId="1" fillId="2" borderId="0" xfId="0" applyNumberFormat="1" applyFont="1" applyFill="1" applyAlignment="1">
      <alignment horizontal="right" vertical="center" wrapText="1"/>
    </xf>
    <xf numFmtId="3" fontId="1" fillId="3" borderId="8" xfId="0" applyNumberFormat="1" applyFont="1" applyFill="1" applyBorder="1" applyAlignment="1">
      <alignment horizontal="right" vertical="center" wrapText="1"/>
    </xf>
    <xf numFmtId="3" fontId="1" fillId="3" borderId="5" xfId="0" applyNumberFormat="1" applyFont="1" applyFill="1" applyBorder="1" applyAlignment="1">
      <alignment vertical="center"/>
    </xf>
    <xf numFmtId="3" fontId="1" fillId="3" borderId="6" xfId="0" applyNumberFormat="1" applyFont="1" applyFill="1" applyBorder="1" applyAlignment="1">
      <alignment vertical="center"/>
    </xf>
    <xf numFmtId="3" fontId="1" fillId="19" borderId="0" xfId="0" applyNumberFormat="1" applyFont="1" applyFill="1" applyAlignment="1">
      <alignment vertical="center"/>
    </xf>
    <xf numFmtId="3" fontId="10" fillId="3" borderId="3" xfId="0" applyNumberFormat="1" applyFont="1" applyFill="1" applyBorder="1" applyAlignment="1">
      <alignment horizontal="right" vertical="center" wrapText="1"/>
    </xf>
    <xf numFmtId="3" fontId="1" fillId="3" borderId="6" xfId="0" applyNumberFormat="1" applyFont="1" applyFill="1" applyBorder="1" applyAlignment="1">
      <alignment horizontal="right" vertical="center" wrapText="1"/>
    </xf>
    <xf numFmtId="3" fontId="1" fillId="3" borderId="8" xfId="0" applyNumberFormat="1" applyFont="1" applyFill="1" applyBorder="1" applyAlignment="1">
      <alignment horizontal="right" vertical="center" wrapText="1"/>
    </xf>
    <xf numFmtId="3" fontId="1" fillId="3" borderId="7" xfId="0" applyNumberFormat="1" applyFont="1" applyFill="1" applyBorder="1" applyAlignment="1">
      <alignment horizontal="right" vertical="center" wrapText="1"/>
    </xf>
    <xf numFmtId="3" fontId="1" fillId="19" borderId="3" xfId="0" applyNumberFormat="1" applyFont="1" applyFill="1" applyBorder="1" applyAlignment="1">
      <alignment horizontal="right" vertical="center" wrapText="1"/>
    </xf>
    <xf numFmtId="3" fontId="1" fillId="3" borderId="5" xfId="0" applyNumberFormat="1" applyFont="1" applyFill="1" applyBorder="1" applyAlignment="1">
      <alignment horizontal="right" vertical="center" wrapText="1"/>
    </xf>
    <xf numFmtId="3" fontId="10" fillId="3" borderId="3" xfId="0" applyNumberFormat="1" applyFont="1" applyFill="1" applyBorder="1" applyAlignment="1">
      <alignment horizontal="right" vertical="center" wrapText="1"/>
    </xf>
    <xf numFmtId="9" fontId="10" fillId="3" borderId="0" xfId="0" applyNumberFormat="1" applyFont="1" applyFill="1" applyAlignment="1">
      <alignment horizontal="right" vertical="center" wrapText="1"/>
    </xf>
    <xf numFmtId="3" fontId="1" fillId="2" borderId="3" xfId="0" applyNumberFormat="1" applyFont="1" applyFill="1" applyBorder="1" applyAlignment="1">
      <alignment vertical="center"/>
    </xf>
    <xf numFmtId="3" fontId="1" fillId="0" borderId="3" xfId="0" applyNumberFormat="1" applyFont="1" applyBorder="1" applyAlignment="1">
      <alignment vertical="center"/>
    </xf>
    <xf numFmtId="3" fontId="1" fillId="0" borderId="3" xfId="0" applyNumberFormat="1" applyFont="1" applyBorder="1" applyAlignment="1">
      <alignment horizontal="right" vertical="center"/>
    </xf>
    <xf numFmtId="3" fontId="1" fillId="14" borderId="3" xfId="0" applyNumberFormat="1" applyFont="1" applyFill="1" applyBorder="1" applyAlignment="1">
      <alignment horizontal="right" vertical="center" wrapText="1"/>
    </xf>
    <xf numFmtId="3" fontId="1" fillId="9" borderId="0" xfId="0" applyNumberFormat="1" applyFont="1" applyFill="1" applyAlignment="1">
      <alignment horizontal="right" vertical="center" wrapText="1"/>
    </xf>
    <xf numFmtId="3" fontId="10" fillId="0" borderId="5" xfId="0" applyNumberFormat="1" applyFont="1" applyBorder="1" applyAlignment="1">
      <alignment vertical="center" wrapText="1"/>
    </xf>
    <xf numFmtId="0" fontId="1" fillId="3" borderId="6" xfId="0" applyFont="1" applyFill="1" applyBorder="1" applyAlignment="1">
      <alignment horizontal="left" vertical="center" wrapText="1"/>
    </xf>
    <xf numFmtId="0" fontId="1" fillId="3" borderId="6" xfId="0" applyFont="1" applyFill="1" applyBorder="1" applyAlignment="1">
      <alignment horizontal="left" vertical="center" wrapText="1"/>
    </xf>
    <xf numFmtId="3" fontId="1" fillId="2" borderId="6" xfId="0" applyNumberFormat="1" applyFont="1" applyFill="1" applyBorder="1" applyAlignment="1">
      <alignment horizontal="right" vertical="center" wrapText="1"/>
    </xf>
    <xf numFmtId="3" fontId="1" fillId="2" borderId="6" xfId="0" applyNumberFormat="1" applyFont="1" applyFill="1" applyBorder="1" applyAlignment="1">
      <alignment horizontal="right" vertical="center" wrapText="1"/>
    </xf>
    <xf numFmtId="3" fontId="1" fillId="2" borderId="8" xfId="0" applyNumberFormat="1" applyFont="1" applyFill="1" applyBorder="1" applyAlignment="1">
      <alignment horizontal="right" vertical="center" wrapText="1"/>
    </xf>
    <xf numFmtId="3" fontId="1" fillId="3" borderId="9" xfId="0" applyNumberFormat="1" applyFont="1" applyFill="1" applyBorder="1" applyAlignment="1">
      <alignment horizontal="right" vertical="center" wrapText="1"/>
    </xf>
    <xf numFmtId="0" fontId="5" fillId="0" borderId="6" xfId="0" applyFont="1" applyBorder="1"/>
    <xf numFmtId="0" fontId="5" fillId="0" borderId="7" xfId="0" applyFont="1" applyBorder="1"/>
    <xf numFmtId="0" fontId="1" fillId="0" borderId="5" xfId="0" applyFont="1" applyBorder="1" applyAlignment="1">
      <alignment horizontal="left" vertical="center" wrapText="1"/>
    </xf>
    <xf numFmtId="3" fontId="1" fillId="14" borderId="3" xfId="0" applyNumberFormat="1" applyFont="1" applyFill="1" applyBorder="1" applyAlignment="1">
      <alignment vertical="center"/>
    </xf>
    <xf numFmtId="3" fontId="9" fillId="4" borderId="3" xfId="0" applyNumberFormat="1" applyFont="1" applyFill="1" applyBorder="1" applyAlignment="1">
      <alignment horizontal="right" vertical="center" wrapText="1"/>
    </xf>
    <xf numFmtId="3" fontId="9" fillId="15" borderId="1" xfId="0" applyNumberFormat="1" applyFont="1" applyFill="1" applyBorder="1" applyAlignment="1">
      <alignment horizontal="right" vertical="center" wrapText="1"/>
    </xf>
    <xf numFmtId="3" fontId="10" fillId="15" borderId="1" xfId="0" applyNumberFormat="1" applyFont="1" applyFill="1" applyBorder="1" applyAlignment="1">
      <alignment horizontal="right" vertical="center" wrapText="1"/>
    </xf>
    <xf numFmtId="3" fontId="1" fillId="2" borderId="0" xfId="0" applyNumberFormat="1" applyFont="1" applyFill="1" applyAlignment="1">
      <alignment vertical="center" wrapText="1"/>
    </xf>
    <xf numFmtId="3" fontId="1" fillId="2" borderId="3" xfId="0" applyNumberFormat="1" applyFont="1" applyFill="1" applyBorder="1" applyAlignment="1">
      <alignment horizontal="right" vertical="center" wrapText="1"/>
    </xf>
    <xf numFmtId="3" fontId="1" fillId="2" borderId="0" xfId="0" applyNumberFormat="1" applyFont="1" applyFill="1" applyAlignment="1">
      <alignment vertical="center" wrapText="1"/>
    </xf>
    <xf numFmtId="3" fontId="1" fillId="2" borderId="1" xfId="0" applyNumberFormat="1" applyFont="1" applyFill="1" applyBorder="1" applyAlignment="1">
      <alignment horizontal="right" vertical="center" wrapText="1"/>
    </xf>
    <xf numFmtId="3" fontId="1" fillId="2" borderId="3" xfId="0" applyNumberFormat="1" applyFont="1" applyFill="1" applyBorder="1" applyAlignment="1">
      <alignment horizontal="right" vertical="center" wrapText="1"/>
    </xf>
    <xf numFmtId="0" fontId="17" fillId="0" borderId="0" xfId="0" applyFont="1" applyAlignment="1">
      <alignment vertical="center"/>
    </xf>
    <xf numFmtId="0" fontId="17" fillId="0" borderId="0" xfId="0" applyFont="1" applyAlignment="1"/>
    <xf numFmtId="4" fontId="1" fillId="15" borderId="1" xfId="0" applyNumberFormat="1" applyFont="1" applyFill="1" applyBorder="1" applyAlignment="1">
      <alignment vertical="center"/>
    </xf>
    <xf numFmtId="3" fontId="10" fillId="14" borderId="3" xfId="0" applyNumberFormat="1" applyFont="1" applyFill="1" applyBorder="1" applyAlignment="1">
      <alignment vertical="center"/>
    </xf>
    <xf numFmtId="4" fontId="10" fillId="15" borderId="1" xfId="0" applyNumberFormat="1" applyFont="1" applyFill="1" applyBorder="1" applyAlignment="1">
      <alignment vertical="center"/>
    </xf>
    <xf numFmtId="3" fontId="10" fillId="4" borderId="3" xfId="0" applyNumberFormat="1" applyFont="1" applyFill="1" applyBorder="1" applyAlignment="1">
      <alignment horizontal="center" vertical="center"/>
    </xf>
    <xf numFmtId="4" fontId="1" fillId="3" borderId="3" xfId="0" applyNumberFormat="1" applyFont="1" applyFill="1" applyBorder="1" applyAlignment="1">
      <alignment horizontal="right" vertical="top"/>
    </xf>
    <xf numFmtId="10" fontId="1" fillId="3" borderId="3" xfId="0" applyNumberFormat="1" applyFont="1" applyFill="1" applyBorder="1" applyAlignment="1">
      <alignment horizontal="right" vertical="top"/>
    </xf>
    <xf numFmtId="3" fontId="1" fillId="3" borderId="2" xfId="0" applyNumberFormat="1" applyFont="1" applyFill="1" applyBorder="1" applyAlignment="1">
      <alignment horizontal="right" vertical="top"/>
    </xf>
    <xf numFmtId="3" fontId="1" fillId="3" borderId="10" xfId="0" applyNumberFormat="1" applyFont="1" applyFill="1" applyBorder="1" applyAlignment="1">
      <alignment horizontal="right" vertical="top"/>
    </xf>
    <xf numFmtId="3" fontId="1" fillId="3" borderId="3" xfId="0" applyNumberFormat="1" applyFont="1" applyFill="1" applyBorder="1" applyAlignment="1">
      <alignment horizontal="right" vertical="top"/>
    </xf>
    <xf numFmtId="0" fontId="30" fillId="0" borderId="0" xfId="0" applyFont="1" applyAlignment="1">
      <alignment vertical="center"/>
    </xf>
    <xf numFmtId="0" fontId="30" fillId="2" borderId="0" xfId="0" applyFont="1" applyFill="1" applyAlignment="1">
      <alignment vertical="center"/>
    </xf>
    <xf numFmtId="0" fontId="30" fillId="9" borderId="0" xfId="0" applyFont="1" applyFill="1" applyAlignment="1">
      <alignment vertical="center"/>
    </xf>
    <xf numFmtId="0" fontId="31" fillId="0" borderId="4" xfId="0" applyFont="1" applyBorder="1"/>
    <xf numFmtId="0" fontId="30" fillId="0" borderId="4" xfId="0" applyFont="1" applyBorder="1" applyAlignment="1">
      <alignment horizontal="center" vertical="center" wrapText="1"/>
    </xf>
    <xf numFmtId="0" fontId="30" fillId="0" borderId="4" xfId="0" applyFont="1" applyBorder="1" applyAlignment="1">
      <alignment horizontal="center" vertical="center"/>
    </xf>
    <xf numFmtId="0" fontId="30" fillId="3" borderId="0" xfId="0" applyFont="1" applyFill="1" applyAlignment="1">
      <alignment horizontal="center" wrapText="1"/>
    </xf>
    <xf numFmtId="0" fontId="30" fillId="0" borderId="4" xfId="0" applyFont="1" applyBorder="1" applyAlignment="1">
      <alignment horizontal="left" vertical="center"/>
    </xf>
    <xf numFmtId="3" fontId="31" fillId="0" borderId="4" xfId="0" applyNumberFormat="1" applyFont="1" applyBorder="1" applyAlignment="1">
      <alignment horizontal="center" vertical="center"/>
    </xf>
    <xf numFmtId="3" fontId="31" fillId="2" borderId="4" xfId="0" applyNumberFormat="1" applyFont="1" applyFill="1" applyBorder="1" applyAlignment="1">
      <alignment horizontal="center" vertical="center"/>
    </xf>
    <xf numFmtId="3" fontId="31" fillId="9" borderId="4" xfId="0" applyNumberFormat="1" applyFont="1" applyFill="1" applyBorder="1" applyAlignment="1">
      <alignment horizontal="center" vertical="center"/>
    </xf>
    <xf numFmtId="1" fontId="31" fillId="3" borderId="0" xfId="0" applyNumberFormat="1" applyFont="1" applyFill="1" applyAlignment="1">
      <alignment horizontal="center" vertical="center"/>
    </xf>
    <xf numFmtId="0" fontId="30" fillId="0" borderId="0" xfId="0" applyFont="1" applyAlignment="1"/>
    <xf numFmtId="2" fontId="31" fillId="0" borderId="4" xfId="0" applyNumberFormat="1" applyFont="1" applyBorder="1" applyAlignment="1">
      <alignment horizontal="center" vertical="center"/>
    </xf>
    <xf numFmtId="2" fontId="31" fillId="3" borderId="4" xfId="0" applyNumberFormat="1" applyFont="1" applyFill="1" applyBorder="1" applyAlignment="1">
      <alignment horizontal="center" vertical="center"/>
    </xf>
    <xf numFmtId="2" fontId="31" fillId="3" borderId="4" xfId="0" applyNumberFormat="1" applyFont="1" applyFill="1" applyBorder="1" applyAlignment="1">
      <alignment horizontal="center" vertical="center"/>
    </xf>
    <xf numFmtId="0" fontId="30" fillId="0" borderId="4" xfId="0" applyFont="1" applyBorder="1" applyAlignment="1">
      <alignment horizontal="left" vertical="center" wrapText="1"/>
    </xf>
    <xf numFmtId="0" fontId="31" fillId="2" borderId="4" xfId="0" applyFont="1" applyFill="1" applyBorder="1" applyAlignment="1">
      <alignment horizontal="center" vertical="center"/>
    </xf>
    <xf numFmtId="3" fontId="1" fillId="3" borderId="4" xfId="0" applyNumberFormat="1" applyFont="1" applyFill="1" applyBorder="1" applyAlignment="1">
      <alignment vertical="top" wrapText="1"/>
    </xf>
    <xf numFmtId="3" fontId="1" fillId="0" borderId="4" xfId="0" applyNumberFormat="1" applyFont="1" applyBorder="1" applyAlignment="1">
      <alignment horizontal="center"/>
    </xf>
    <xf numFmtId="3" fontId="1" fillId="3" borderId="4" xfId="0" applyNumberFormat="1" applyFont="1" applyFill="1" applyBorder="1" applyAlignment="1">
      <alignment horizontal="right" vertical="center" wrapText="1"/>
    </xf>
    <xf numFmtId="3" fontId="1" fillId="0" borderId="4" xfId="0" applyNumberFormat="1" applyFont="1" applyBorder="1" applyAlignment="1">
      <alignment horizontal="right"/>
    </xf>
    <xf numFmtId="3" fontId="1" fillId="9" borderId="4" xfId="0" applyNumberFormat="1" applyFont="1" applyFill="1" applyBorder="1" applyAlignment="1">
      <alignment horizontal="right"/>
    </xf>
    <xf numFmtId="3" fontId="1" fillId="2" borderId="4" xfId="0" applyNumberFormat="1" applyFont="1" applyFill="1" applyBorder="1" applyAlignment="1">
      <alignment vertical="top" wrapText="1"/>
    </xf>
    <xf numFmtId="9" fontId="1" fillId="2" borderId="4" xfId="0" applyNumberFormat="1" applyFont="1" applyFill="1" applyBorder="1" applyAlignment="1">
      <alignment horizontal="center"/>
    </xf>
    <xf numFmtId="9" fontId="1" fillId="2" borderId="4" xfId="0" applyNumberFormat="1" applyFont="1" applyFill="1" applyBorder="1" applyAlignment="1">
      <alignment horizontal="right" vertical="center"/>
    </xf>
    <xf numFmtId="3" fontId="1" fillId="3" borderId="4" xfId="0" applyNumberFormat="1" applyFont="1" applyFill="1" applyBorder="1" applyAlignment="1">
      <alignment vertical="top" wrapText="1"/>
    </xf>
    <xf numFmtId="0" fontId="1" fillId="0" borderId="4" xfId="0" applyFont="1" applyBorder="1" applyAlignment="1">
      <alignment horizontal="center"/>
    </xf>
    <xf numFmtId="0" fontId="1" fillId="3" borderId="4" xfId="0" applyFont="1" applyFill="1" applyBorder="1" applyAlignment="1">
      <alignment horizontal="right" vertical="center" wrapText="1"/>
    </xf>
    <xf numFmtId="9" fontId="1" fillId="2" borderId="4" xfId="0" applyNumberFormat="1" applyFont="1" applyFill="1" applyBorder="1" applyAlignment="1">
      <alignment horizontal="right" vertical="center" wrapText="1"/>
    </xf>
    <xf numFmtId="3" fontId="1" fillId="3" borderId="4" xfId="0" applyNumberFormat="1" applyFont="1" applyFill="1" applyBorder="1" applyAlignment="1">
      <alignment horizontal="right" vertical="center"/>
    </xf>
    <xf numFmtId="0" fontId="1" fillId="0" borderId="4" xfId="0" applyFont="1" applyBorder="1" applyAlignment="1">
      <alignment horizontal="right"/>
    </xf>
    <xf numFmtId="1" fontId="1" fillId="9" borderId="4" xfId="0" applyNumberFormat="1" applyFont="1" applyFill="1" applyBorder="1" applyAlignment="1">
      <alignment horizontal="right"/>
    </xf>
    <xf numFmtId="9" fontId="1" fillId="2" borderId="5" xfId="0" applyNumberFormat="1" applyFont="1" applyFill="1" applyBorder="1" applyAlignment="1">
      <alignment horizontal="right" vertical="center" wrapText="1"/>
    </xf>
    <xf numFmtId="0" fontId="1" fillId="0" borderId="5" xfId="0" applyFont="1" applyBorder="1" applyAlignment="1">
      <alignment horizontal="right"/>
    </xf>
    <xf numFmtId="0" fontId="1" fillId="9" borderId="5" xfId="0" applyFont="1" applyFill="1" applyBorder="1" applyAlignment="1">
      <alignment horizontal="right"/>
    </xf>
    <xf numFmtId="0" fontId="31" fillId="15" borderId="0" xfId="0" applyFont="1" applyFill="1"/>
    <xf numFmtId="0" fontId="31" fillId="0" borderId="4" xfId="0" applyFont="1" applyBorder="1" applyAlignment="1"/>
    <xf numFmtId="0" fontId="1" fillId="9" borderId="4" xfId="0" applyFont="1" applyFill="1" applyBorder="1" applyAlignment="1">
      <alignment horizontal="right"/>
    </xf>
    <xf numFmtId="0" fontId="31" fillId="0" borderId="5" xfId="0" applyFont="1" applyBorder="1" applyAlignment="1"/>
    <xf numFmtId="0" fontId="1" fillId="0" borderId="4" xfId="0" applyFont="1" applyBorder="1" applyAlignment="1">
      <alignment horizontal="left" vertical="center"/>
    </xf>
    <xf numFmtId="10" fontId="1" fillId="0" borderId="4" xfId="0" applyNumberFormat="1" applyFont="1" applyBorder="1" applyAlignment="1">
      <alignment horizontal="center" vertical="center"/>
    </xf>
    <xf numFmtId="10" fontId="1" fillId="0" borderId="4" xfId="0" applyNumberFormat="1" applyFont="1" applyBorder="1" applyAlignment="1">
      <alignment horizontal="right" vertical="center"/>
    </xf>
    <xf numFmtId="10" fontId="5" fillId="3" borderId="4" xfId="0" applyNumberFormat="1" applyFont="1" applyFill="1" applyBorder="1" applyAlignment="1">
      <alignment horizontal="right" vertical="center"/>
    </xf>
    <xf numFmtId="10" fontId="5" fillId="0" borderId="4" xfId="0" applyNumberFormat="1" applyFont="1" applyBorder="1" applyAlignment="1">
      <alignment horizontal="right" vertical="center"/>
    </xf>
    <xf numFmtId="0" fontId="38" fillId="0" borderId="0" xfId="0" applyFont="1"/>
    <xf numFmtId="0" fontId="38" fillId="3" borderId="0" xfId="0" applyFont="1" applyFill="1"/>
    <xf numFmtId="0" fontId="10" fillId="0" borderId="4" xfId="0" applyFont="1" applyBorder="1" applyAlignment="1">
      <alignment horizontal="left" vertical="center" wrapText="1"/>
    </xf>
    <xf numFmtId="0" fontId="10" fillId="0" borderId="0" xfId="0" applyFont="1" applyAlignment="1">
      <alignment horizontal="center" vertical="center"/>
    </xf>
    <xf numFmtId="0" fontId="1" fillId="0" borderId="0" xfId="0" applyFont="1"/>
    <xf numFmtId="0" fontId="1" fillId="0" borderId="4" xfId="0" applyFont="1" applyBorder="1" applyAlignment="1">
      <alignment horizontal="center"/>
    </xf>
    <xf numFmtId="0" fontId="10" fillId="0" borderId="4" xfId="0" applyFont="1" applyBorder="1" applyAlignment="1">
      <alignment horizontal="left" vertical="center"/>
    </xf>
    <xf numFmtId="0" fontId="39" fillId="0" borderId="4" xfId="0" applyFont="1" applyBorder="1" applyAlignment="1">
      <alignment wrapText="1"/>
    </xf>
    <xf numFmtId="0" fontId="38" fillId="0" borderId="0" xfId="0" applyFont="1" applyAlignment="1">
      <alignment wrapText="1"/>
    </xf>
    <xf numFmtId="0" fontId="16" fillId="0" borderId="4" xfId="0" applyFont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38" fillId="0" borderId="0" xfId="0" applyFont="1" applyAlignment="1">
      <alignment horizontal="center"/>
    </xf>
    <xf numFmtId="0" fontId="16" fillId="2" borderId="4" xfId="0" applyFont="1" applyFill="1" applyBorder="1" applyAlignment="1">
      <alignment horizontal="center"/>
    </xf>
    <xf numFmtId="0" fontId="16" fillId="0" borderId="4" xfId="0" applyFont="1" applyBorder="1" applyAlignment="1">
      <alignment horizontal="center" vertical="center"/>
    </xf>
    <xf numFmtId="0" fontId="40" fillId="0" borderId="0" xfId="0" applyFont="1" applyAlignment="1"/>
    <xf numFmtId="0" fontId="41" fillId="0" borderId="0" xfId="0" applyFont="1"/>
    <xf numFmtId="0" fontId="9" fillId="0" borderId="0" xfId="0" applyFont="1" applyAlignment="1">
      <alignment horizontal="left"/>
    </xf>
    <xf numFmtId="0" fontId="41" fillId="0" borderId="0" xfId="0" applyFont="1" applyAlignment="1"/>
    <xf numFmtId="0" fontId="9" fillId="0" borderId="0" xfId="0" applyFont="1" applyAlignment="1"/>
    <xf numFmtId="1" fontId="41" fillId="0" borderId="0" xfId="0" applyNumberFormat="1" applyFont="1"/>
    <xf numFmtId="1" fontId="41" fillId="0" borderId="0" xfId="0" applyNumberFormat="1" applyFont="1" applyAlignment="1"/>
    <xf numFmtId="0" fontId="10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167" fontId="42" fillId="4" borderId="0" xfId="0" applyNumberFormat="1" applyFont="1" applyFill="1" applyAlignment="1">
      <alignment horizontal="left" vertical="center" wrapText="1"/>
    </xf>
    <xf numFmtId="0" fontId="28" fillId="0" borderId="0" xfId="0" applyFont="1" applyAlignment="1">
      <alignment horizontal="left" vertical="center" wrapText="1"/>
    </xf>
    <xf numFmtId="0" fontId="43" fillId="0" borderId="0" xfId="0" applyFont="1" applyAlignment="1">
      <alignment horizontal="left" vertical="center" wrapText="1"/>
    </xf>
    <xf numFmtId="0" fontId="28" fillId="0" borderId="0" xfId="0" applyFont="1" applyAlignment="1">
      <alignment horizontal="left" vertical="top" wrapText="1"/>
    </xf>
    <xf numFmtId="0" fontId="27" fillId="0" borderId="11" xfId="0" applyFont="1" applyBorder="1" applyAlignment="1"/>
    <xf numFmtId="0" fontId="28" fillId="0" borderId="0" xfId="0" applyFont="1" applyAlignment="1"/>
    <xf numFmtId="0" fontId="27" fillId="9" borderId="0" xfId="0" applyFont="1" applyFill="1" applyAlignment="1">
      <alignment horizontal="left" vertical="center" wrapText="1"/>
    </xf>
    <xf numFmtId="0" fontId="28" fillId="0" borderId="0" xfId="0" applyFont="1" applyAlignment="1">
      <alignment horizontal="left" vertical="top" wrapText="1"/>
    </xf>
    <xf numFmtId="0" fontId="44" fillId="0" borderId="0" xfId="0" applyFont="1" applyAlignment="1">
      <alignment horizontal="left" vertical="top" wrapText="1"/>
    </xf>
    <xf numFmtId="0" fontId="28" fillId="0" borderId="0" xfId="0" applyFont="1" applyAlignment="1">
      <alignment horizontal="left" vertical="top" wrapText="1"/>
    </xf>
    <xf numFmtId="0" fontId="27" fillId="0" borderId="0" xfId="0" applyFont="1" applyAlignment="1">
      <alignment horizontal="left" vertical="top" wrapText="1"/>
    </xf>
    <xf numFmtId="0" fontId="28" fillId="0" borderId="0" xfId="0" applyFont="1" applyAlignment="1">
      <alignment horizontal="left" vertical="top" wrapText="1"/>
    </xf>
    <xf numFmtId="0" fontId="28" fillId="0" borderId="0" xfId="0" applyFont="1" applyAlignment="1">
      <alignment horizontal="right" vertical="top" wrapText="1"/>
    </xf>
    <xf numFmtId="3" fontId="28" fillId="3" borderId="0" xfId="0" applyNumberFormat="1" applyFont="1" applyFill="1" applyAlignment="1">
      <alignment horizontal="right" vertical="top" wrapText="1"/>
    </xf>
    <xf numFmtId="9" fontId="28" fillId="3" borderId="0" xfId="0" applyNumberFormat="1" applyFont="1" applyFill="1" applyAlignment="1">
      <alignment horizontal="right" vertical="top" wrapText="1"/>
    </xf>
    <xf numFmtId="0" fontId="28" fillId="3" borderId="0" xfId="0" applyFont="1" applyFill="1" applyAlignment="1">
      <alignment vertical="top" wrapText="1"/>
    </xf>
    <xf numFmtId="3" fontId="28" fillId="3" borderId="0" xfId="0" applyNumberFormat="1" applyFont="1" applyFill="1" applyAlignment="1">
      <alignment vertical="top" wrapText="1"/>
    </xf>
    <xf numFmtId="0" fontId="28" fillId="3" borderId="0" xfId="0" applyFont="1" applyFill="1" applyAlignment="1">
      <alignment vertical="top" wrapText="1"/>
    </xf>
    <xf numFmtId="0" fontId="28" fillId="0" borderId="0" xfId="0" applyFont="1"/>
    <xf numFmtId="0" fontId="45" fillId="0" borderId="0" xfId="0" applyFont="1" applyAlignment="1"/>
    <xf numFmtId="0" fontId="28" fillId="0" borderId="0" xfId="0" applyFont="1"/>
    <xf numFmtId="0" fontId="28" fillId="0" borderId="0" xfId="0" applyFont="1" applyAlignment="1">
      <alignment horizontal="left" wrapText="1"/>
    </xf>
    <xf numFmtId="0" fontId="28" fillId="4" borderId="25" xfId="0" applyFont="1" applyFill="1" applyBorder="1" applyAlignment="1">
      <alignment horizontal="left" vertical="center" wrapText="1"/>
    </xf>
    <xf numFmtId="0" fontId="28" fillId="0" borderId="0" xfId="0" applyFont="1" applyAlignment="1">
      <alignment horizontal="left" vertical="center" wrapText="1"/>
    </xf>
    <xf numFmtId="3" fontId="2" fillId="2" borderId="0" xfId="0" applyNumberFormat="1" applyFont="1" applyFill="1" applyAlignment="1">
      <alignment horizontal="left" vertical="center" wrapText="1"/>
    </xf>
    <xf numFmtId="0" fontId="0" fillId="0" borderId="0" xfId="0" applyFont="1" applyAlignment="1"/>
    <xf numFmtId="3" fontId="1" fillId="3" borderId="0" xfId="0" applyNumberFormat="1" applyFont="1" applyFill="1" applyAlignment="1">
      <alignment horizontal="center" vertical="center" wrapText="1"/>
    </xf>
    <xf numFmtId="49" fontId="11" fillId="5" borderId="0" xfId="0" applyNumberFormat="1" applyFont="1" applyFill="1" applyAlignment="1">
      <alignment horizontal="center" vertical="center" wrapText="1"/>
    </xf>
    <xf numFmtId="164" fontId="18" fillId="3" borderId="0" xfId="0" applyNumberFormat="1" applyFont="1" applyFill="1" applyAlignment="1">
      <alignment vertical="center" wrapText="1"/>
    </xf>
    <xf numFmtId="0" fontId="1" fillId="3" borderId="0" xfId="0" applyFont="1" applyFill="1" applyAlignment="1">
      <alignment horizontal="left" vertical="center" wrapText="1"/>
    </xf>
    <xf numFmtId="9" fontId="18" fillId="3" borderId="0" xfId="0" applyNumberFormat="1" applyFont="1" applyFill="1" applyAlignment="1">
      <alignment vertical="center" wrapText="1"/>
    </xf>
    <xf numFmtId="3" fontId="1" fillId="3" borderId="0" xfId="0" applyNumberFormat="1" applyFont="1" applyFill="1" applyAlignment="1">
      <alignment horizontal="right" vertical="center" wrapText="1"/>
    </xf>
    <xf numFmtId="3" fontId="16" fillId="3" borderId="0" xfId="0" applyNumberFormat="1" applyFont="1" applyFill="1" applyAlignment="1">
      <alignment vertical="center" wrapText="1"/>
    </xf>
    <xf numFmtId="3" fontId="1" fillId="3" borderId="0" xfId="0" applyNumberFormat="1" applyFont="1" applyFill="1" applyAlignment="1">
      <alignment vertical="center" wrapText="1"/>
    </xf>
    <xf numFmtId="49" fontId="10" fillId="3" borderId="0" xfId="0" applyNumberFormat="1" applyFont="1" applyFill="1" applyAlignment="1">
      <alignment horizontal="center" vertical="center" wrapText="1"/>
    </xf>
    <xf numFmtId="3" fontId="27" fillId="14" borderId="0" xfId="0" applyNumberFormat="1" applyFont="1" applyFill="1" applyAlignment="1">
      <alignment vertical="top" wrapText="1"/>
    </xf>
    <xf numFmtId="3" fontId="28" fillId="3" borderId="0" xfId="0" applyNumberFormat="1" applyFont="1" applyFill="1" applyAlignment="1">
      <alignment vertical="top" wrapText="1"/>
    </xf>
    <xf numFmtId="3" fontId="10" fillId="14" borderId="0" xfId="0" applyNumberFormat="1" applyFont="1" applyFill="1" applyAlignment="1">
      <alignment vertical="center" wrapText="1"/>
    </xf>
    <xf numFmtId="3" fontId="27" fillId="3" borderId="0" xfId="0" applyNumberFormat="1" applyFont="1" applyFill="1" applyAlignment="1">
      <alignment vertical="top" wrapText="1"/>
    </xf>
    <xf numFmtId="3" fontId="1" fillId="3" borderId="0" xfId="0" applyNumberFormat="1" applyFont="1" applyFill="1" applyAlignment="1">
      <alignment vertical="center"/>
    </xf>
    <xf numFmtId="3" fontId="9" fillId="3" borderId="0" xfId="0" applyNumberFormat="1" applyFont="1" applyFill="1" applyAlignment="1">
      <alignment horizontal="right" vertical="center" wrapText="1"/>
    </xf>
    <xf numFmtId="0" fontId="5" fillId="3" borderId="0" xfId="0" applyFont="1" applyFill="1" applyAlignment="1"/>
    <xf numFmtId="0" fontId="5" fillId="3" borderId="0" xfId="0" applyFont="1" applyFill="1" applyAlignment="1">
      <alignment wrapText="1"/>
    </xf>
    <xf numFmtId="0" fontId="32" fillId="0" borderId="3" xfId="0" applyFont="1" applyBorder="1"/>
    <xf numFmtId="0" fontId="36" fillId="3" borderId="0" xfId="0" applyFont="1" applyFill="1" applyAlignment="1">
      <alignment vertical="center" wrapText="1"/>
    </xf>
    <xf numFmtId="0" fontId="5" fillId="9" borderId="0" xfId="0" applyFont="1" applyFill="1" applyAlignment="1"/>
    <xf numFmtId="0" fontId="5" fillId="0" borderId="0" xfId="0" applyFont="1" applyAlignment="1">
      <alignment wrapText="1"/>
    </xf>
    <xf numFmtId="3" fontId="10" fillId="3" borderId="0" xfId="0" applyNumberFormat="1" applyFont="1" applyFill="1" applyAlignment="1">
      <alignment vertical="center" wrapText="1"/>
    </xf>
    <xf numFmtId="0" fontId="10" fillId="0" borderId="0" xfId="0" applyFont="1" applyAlignment="1">
      <alignment horizontal="center" vertical="center"/>
    </xf>
    <xf numFmtId="0" fontId="37" fillId="0" borderId="0" xfId="0" applyFont="1" applyAlignment="1">
      <alignment vertical="center"/>
    </xf>
    <xf numFmtId="0" fontId="31" fillId="0" borderId="0" xfId="0" applyFont="1" applyAlignment="1">
      <alignment horizontal="left" vertical="center"/>
    </xf>
    <xf numFmtId="0" fontId="37" fillId="3" borderId="0" xfId="0" applyFont="1" applyFill="1" applyAlignment="1">
      <alignment vertical="center"/>
    </xf>
    <xf numFmtId="0" fontId="30" fillId="0" borderId="0" xfId="0" applyFont="1" applyAlignment="1">
      <alignment horizontal="left" vertical="center"/>
    </xf>
    <xf numFmtId="0" fontId="30" fillId="2" borderId="0" xfId="0" applyFont="1" applyFill="1" applyAlignment="1">
      <alignment vertical="center"/>
    </xf>
    <xf numFmtId="0" fontId="30" fillId="9" borderId="0" xfId="0" applyFont="1" applyFill="1" applyAlignment="1">
      <alignment vertical="center"/>
    </xf>
    <xf numFmtId="0" fontId="28" fillId="0" borderId="12" xfId="0" applyFont="1" applyBorder="1" applyAlignment="1">
      <alignment horizontal="left" vertical="top" wrapText="1"/>
    </xf>
    <xf numFmtId="0" fontId="32" fillId="0" borderId="13" xfId="0" applyFont="1" applyBorder="1"/>
    <xf numFmtId="0" fontId="32" fillId="0" borderId="14" xfId="0" applyFont="1" applyBorder="1"/>
    <xf numFmtId="0" fontId="42" fillId="4" borderId="0" xfId="0" applyFont="1" applyFill="1" applyAlignment="1">
      <alignment horizontal="left" vertical="center" wrapText="1"/>
    </xf>
    <xf numFmtId="0" fontId="28" fillId="0" borderId="0" xfId="0" applyFont="1" applyAlignment="1">
      <alignment horizontal="left" vertical="center" wrapText="1"/>
    </xf>
    <xf numFmtId="0" fontId="28" fillId="0" borderId="0" xfId="0" applyFont="1" applyAlignment="1">
      <alignment wrapText="1"/>
    </xf>
    <xf numFmtId="0" fontId="32" fillId="0" borderId="11" xfId="0" applyFont="1" applyBorder="1"/>
    <xf numFmtId="0" fontId="27" fillId="4" borderId="0" xfId="0" applyFont="1" applyFill="1" applyAlignment="1"/>
    <xf numFmtId="0" fontId="28" fillId="3" borderId="12" xfId="0" applyFont="1" applyFill="1" applyBorder="1" applyAlignment="1">
      <alignment horizontal="left" vertical="top" wrapText="1"/>
    </xf>
    <xf numFmtId="0" fontId="27" fillId="4" borderId="5" xfId="0" applyFont="1" applyFill="1" applyBorder="1" applyAlignment="1">
      <alignment horizontal="left" vertical="center" wrapText="1"/>
    </xf>
    <xf numFmtId="0" fontId="32" fillId="0" borderId="6" xfId="0" applyFont="1" applyBorder="1"/>
    <xf numFmtId="0" fontId="32" fillId="0" borderId="7" xfId="0" applyFont="1" applyBorder="1"/>
    <xf numFmtId="0" fontId="27" fillId="9" borderId="0" xfId="0" applyFont="1" applyFill="1" applyAlignment="1">
      <alignment horizontal="left" vertical="center" wrapText="1"/>
    </xf>
    <xf numFmtId="0" fontId="28" fillId="0" borderId="0" xfId="0" applyFont="1" applyAlignment="1">
      <alignment horizontal="left" vertical="top" wrapText="1"/>
    </xf>
    <xf numFmtId="0" fontId="27" fillId="0" borderId="0" xfId="0" applyFont="1" applyAlignment="1">
      <alignment horizontal="left" vertical="top" wrapText="1"/>
    </xf>
    <xf numFmtId="0" fontId="27" fillId="14" borderId="0" xfId="0" applyFont="1" applyFill="1" applyAlignment="1">
      <alignment horizontal="left" vertical="top" wrapText="1"/>
    </xf>
    <xf numFmtId="0" fontId="28" fillId="3" borderId="0" xfId="0" applyFont="1" applyFill="1" applyAlignment="1">
      <alignment horizontal="left" vertical="top" wrapText="1"/>
    </xf>
    <xf numFmtId="0" fontId="27" fillId="8" borderId="0" xfId="0" applyFont="1" applyFill="1" applyAlignment="1">
      <alignment horizontal="left" vertical="center" wrapText="1"/>
    </xf>
    <xf numFmtId="0" fontId="47" fillId="4" borderId="23" xfId="0" applyFont="1" applyFill="1" applyBorder="1" applyAlignment="1">
      <alignment horizontal="left" vertical="center" wrapText="1"/>
    </xf>
    <xf numFmtId="0" fontId="32" fillId="0" borderId="24" xfId="0" applyFont="1" applyBorder="1"/>
    <xf numFmtId="0" fontId="46" fillId="0" borderId="0" xfId="0" applyFont="1" applyAlignment="1">
      <alignment horizontal="left" vertical="top" wrapText="1"/>
    </xf>
    <xf numFmtId="0" fontId="27" fillId="4" borderId="18" xfId="0" applyFont="1" applyFill="1" applyBorder="1" applyAlignment="1">
      <alignment horizontal="left" vertical="center" wrapText="1"/>
    </xf>
    <xf numFmtId="0" fontId="32" fillId="0" borderId="19" xfId="0" applyFont="1" applyBorder="1"/>
    <xf numFmtId="0" fontId="32" fillId="0" borderId="20" xfId="0" applyFont="1" applyBorder="1"/>
    <xf numFmtId="0" fontId="28" fillId="4" borderId="21" xfId="0" applyFont="1" applyFill="1" applyBorder="1" applyAlignment="1">
      <alignment horizontal="left" vertical="top" wrapText="1"/>
    </xf>
    <xf numFmtId="0" fontId="32" fillId="0" borderId="22" xfId="0" applyFont="1" applyBorder="1"/>
    <xf numFmtId="0" fontId="27" fillId="0" borderId="15" xfId="0" applyFont="1" applyBorder="1" applyAlignment="1">
      <alignment horizontal="left" vertical="top" wrapText="1"/>
    </xf>
    <xf numFmtId="0" fontId="32" fillId="0" borderId="16" xfId="0" applyFont="1" applyBorder="1"/>
    <xf numFmtId="0" fontId="32" fillId="0" borderId="17" xfId="0" applyFont="1" applyBorder="1"/>
    <xf numFmtId="0" fontId="0" fillId="0" borderId="11" xfId="0" applyFill="1" applyBorder="1"/>
    <xf numFmtId="49" fontId="18" fillId="3" borderId="0" xfId="0" applyNumberFormat="1" applyFont="1" applyFill="1" applyAlignment="1">
      <alignment vertical="center" wrapText="1"/>
    </xf>
    <xf numFmtId="49" fontId="51" fillId="5" borderId="0" xfId="0" applyNumberFormat="1" applyFont="1" applyFill="1" applyAlignment="1">
      <alignment horizontal="center" vertical="center" wrapText="1"/>
    </xf>
    <xf numFmtId="3" fontId="52" fillId="9" borderId="0" xfId="0" applyNumberFormat="1" applyFont="1" applyFill="1" applyAlignment="1">
      <alignment wrapText="1"/>
    </xf>
    <xf numFmtId="3" fontId="52" fillId="9" borderId="0" xfId="0" applyNumberFormat="1" applyFont="1" applyFill="1" applyAlignment="1">
      <alignment vertical="center" wrapText="1"/>
    </xf>
    <xf numFmtId="3" fontId="53" fillId="9" borderId="0" xfId="0" applyNumberFormat="1" applyFont="1" applyFill="1" applyAlignment="1">
      <alignment vertical="center" wrapText="1"/>
    </xf>
  </cellXfs>
  <cellStyles count="1">
    <cellStyle name="Обычный" xfId="0" builtinId="0"/>
  </cellStyles>
  <dxfs count="6">
    <dxf>
      <font>
        <color rgb="FF000000"/>
      </font>
      <fill>
        <patternFill patternType="solid">
          <fgColor rgb="FFF4CCCC"/>
          <bgColor rgb="FFF4CCCC"/>
        </patternFill>
      </fill>
    </dxf>
    <dxf>
      <fill>
        <patternFill patternType="solid">
          <fgColor rgb="FFF4CCCC"/>
          <bgColor rgb="FFF4CCCC"/>
        </patternFill>
      </fill>
    </dxf>
    <dxf>
      <font>
        <color rgb="FF000000"/>
      </font>
      <fill>
        <patternFill patternType="solid">
          <fgColor rgb="FFF4CCCC"/>
          <bgColor rgb="FFF4CCCC"/>
        </patternFill>
      </fill>
    </dxf>
    <dxf>
      <font>
        <color rgb="FF000000"/>
      </font>
      <fill>
        <patternFill patternType="solid">
          <fgColor rgb="FFF4CCCC"/>
          <bgColor rgb="FFF4CCCC"/>
        </patternFill>
      </fill>
    </dxf>
    <dxf>
      <fill>
        <patternFill patternType="solid">
          <fgColor rgb="FFF4CCCC"/>
          <bgColor rgb="FFF4CCCC"/>
        </patternFill>
      </fill>
    </dxf>
    <dxf>
      <font>
        <color rgb="FF000000"/>
      </font>
      <fill>
        <patternFill patternType="solid">
          <fgColor rgb="FFF4CCCC"/>
          <bgColor rgb="FFF4CCC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504825</xdr:colOff>
      <xdr:row>68</xdr:row>
      <xdr:rowOff>19050</xdr:rowOff>
    </xdr:from>
    <xdr:ext cx="3724275" cy="2876550"/>
    <xdr:pic>
      <xdr:nvPicPr>
        <xdr:cNvPr id="2" name="image1.png" title="Изображение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60;&#1080;&#1085;&#1084;&#1086;&#1076;&#1077;&#1083;&#1100;%20&#1073;&#1077;&#1079;%20&#1082;&#1088;&#1077;&#1076;&#1080;&#1090;&#1086;&#1074;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Финмодель без кредитов"/>
    </sheetNames>
    <sheetDataSet>
      <sheetData sheetId="0" refreshError="1"/>
    </sheetDataSet>
  </externalBook>
</externalLink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4A86E8"/>
    <outlinePr summaryBelow="0" summaryRight="0"/>
    <pageSetUpPr fitToPage="1"/>
  </sheetPr>
  <dimension ref="A1:AM1207"/>
  <sheetViews>
    <sheetView tabSelected="1" workbookViewId="0">
      <pane xSplit="3" ySplit="13" topLeftCell="D15" activePane="bottomRight" state="frozen"/>
      <selection pane="topRight" activeCell="D1" sqref="D1"/>
      <selection pane="bottomLeft" activeCell="A14" sqref="A14"/>
      <selection pane="bottomRight" activeCell="AF140" sqref="AF140"/>
    </sheetView>
  </sheetViews>
  <sheetFormatPr defaultColWidth="12.5703125" defaultRowHeight="15" customHeight="1" outlineLevelRow="1" x14ac:dyDescent="0.2"/>
  <cols>
    <col min="1" max="1" width="9.7109375" hidden="1" customWidth="1"/>
    <col min="2" max="2" width="44.42578125" customWidth="1"/>
    <col min="3" max="3" width="14.28515625" customWidth="1"/>
    <col min="4" max="4" width="13.28515625" customWidth="1"/>
    <col min="5" max="6" width="10.140625" customWidth="1"/>
    <col min="7" max="7" width="11.140625" customWidth="1"/>
    <col min="8" max="8" width="12.42578125" customWidth="1"/>
    <col min="9" max="9" width="12" customWidth="1"/>
    <col min="10" max="10" width="11.7109375" customWidth="1"/>
    <col min="11" max="11" width="12.140625" customWidth="1"/>
    <col min="12" max="12" width="13.140625" customWidth="1"/>
    <col min="13" max="13" width="13" customWidth="1"/>
    <col min="14" max="14" width="13.140625" customWidth="1"/>
    <col min="15" max="15" width="13" customWidth="1"/>
    <col min="16" max="16" width="12.42578125" customWidth="1"/>
    <col min="17" max="18" width="13.28515625" customWidth="1"/>
    <col min="19" max="19" width="13.85546875" customWidth="1"/>
    <col min="20" max="20" width="14.42578125" customWidth="1"/>
    <col min="21" max="21" width="13.28515625" customWidth="1"/>
    <col min="22" max="22" width="12.28515625" customWidth="1"/>
    <col min="23" max="23" width="12.85546875" customWidth="1"/>
    <col min="24" max="24" width="13" customWidth="1"/>
    <col min="25" max="25" width="11.28515625" customWidth="1"/>
    <col min="26" max="26" width="12.42578125" customWidth="1"/>
    <col min="27" max="27" width="12.85546875" customWidth="1"/>
    <col min="28" max="28" width="17.5703125" customWidth="1"/>
    <col min="29" max="29" width="16.42578125" customWidth="1"/>
  </cols>
  <sheetData>
    <row r="1" spans="1:39" ht="15.75" customHeight="1" collapsed="1" x14ac:dyDescent="0.2">
      <c r="A1" s="1"/>
      <c r="B1" s="476" t="s">
        <v>0</v>
      </c>
      <c r="C1" s="477"/>
      <c r="D1" s="2"/>
      <c r="E1" s="2"/>
      <c r="F1" s="3" t="s">
        <v>1</v>
      </c>
      <c r="G1" s="3" t="s">
        <v>2</v>
      </c>
      <c r="H1" s="4"/>
      <c r="I1" s="5"/>
      <c r="J1" s="5"/>
      <c r="K1" s="5"/>
      <c r="L1" s="5"/>
      <c r="M1" s="5"/>
      <c r="N1" s="6"/>
      <c r="O1" s="5"/>
      <c r="P1" s="5"/>
      <c r="Q1" s="478"/>
      <c r="R1" s="477"/>
      <c r="S1" s="477"/>
      <c r="T1" s="477"/>
      <c r="U1" s="477"/>
      <c r="V1" s="477"/>
      <c r="W1" s="477"/>
      <c r="X1" s="477"/>
      <c r="Y1" s="477"/>
      <c r="Z1" s="477"/>
      <c r="AA1" s="477"/>
      <c r="AB1" s="477"/>
      <c r="AC1" s="8"/>
      <c r="AD1" s="9"/>
      <c r="AE1" s="10"/>
      <c r="AF1" s="10"/>
      <c r="AG1" s="10"/>
      <c r="AH1" s="10"/>
      <c r="AI1" s="10"/>
      <c r="AJ1" s="10"/>
      <c r="AK1" s="10"/>
      <c r="AL1" s="10"/>
      <c r="AM1" s="10"/>
    </row>
    <row r="2" spans="1:39" ht="15.75" hidden="1" customHeight="1" outlineLevel="1" x14ac:dyDescent="0.2">
      <c r="A2" s="1"/>
      <c r="B2" s="11" t="s">
        <v>3</v>
      </c>
      <c r="C2" s="12">
        <f>SUM(E10:P10)</f>
        <v>13768927.514749993</v>
      </c>
      <c r="D2" s="13"/>
      <c r="E2" s="13">
        <v>52783446.081539989</v>
      </c>
      <c r="F2" s="14">
        <f t="shared" ref="F2:F4" si="0">C2-E2</f>
        <v>-39014518.56679</v>
      </c>
      <c r="G2" s="15">
        <f>IFERROR(F2/E2,0)</f>
        <v>-0.73914307350301234</v>
      </c>
      <c r="H2" s="4"/>
      <c r="I2" s="5"/>
      <c r="J2" s="5"/>
      <c r="K2" s="5"/>
      <c r="L2" s="5"/>
      <c r="M2" s="5"/>
      <c r="N2" s="5"/>
      <c r="O2" s="5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7"/>
      <c r="AD2" s="9"/>
      <c r="AE2" s="10"/>
      <c r="AF2" s="10"/>
      <c r="AG2" s="10"/>
      <c r="AH2" s="10"/>
      <c r="AI2" s="10"/>
      <c r="AJ2" s="10"/>
      <c r="AK2" s="10"/>
      <c r="AL2" s="10"/>
      <c r="AM2" s="10"/>
    </row>
    <row r="3" spans="1:39" ht="15.75" hidden="1" customHeight="1" outlineLevel="1" x14ac:dyDescent="0.2">
      <c r="A3" s="1"/>
      <c r="B3" s="11" t="s">
        <v>4</v>
      </c>
      <c r="C3" s="12">
        <f>P377</f>
        <v>3918500.464556538</v>
      </c>
      <c r="D3" s="13"/>
      <c r="E3" s="13">
        <v>4707194.190729497</v>
      </c>
      <c r="F3" s="14">
        <f t="shared" si="0"/>
        <v>-788693.72617295897</v>
      </c>
      <c r="G3" s="15">
        <f t="shared" ref="G3:G4" si="1">F3/E3</f>
        <v>-0.16755070944942921</v>
      </c>
      <c r="H3" s="4"/>
      <c r="I3" s="5"/>
      <c r="J3" s="5"/>
      <c r="K3" s="5"/>
      <c r="L3" s="5"/>
      <c r="M3" s="5"/>
      <c r="N3" s="5"/>
      <c r="O3" s="5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8"/>
      <c r="AD3" s="9"/>
      <c r="AE3" s="10"/>
      <c r="AF3" s="10"/>
      <c r="AG3" s="10"/>
      <c r="AH3" s="10"/>
      <c r="AI3" s="10"/>
      <c r="AJ3" s="10"/>
      <c r="AK3" s="10"/>
      <c r="AL3" s="10"/>
      <c r="AM3" s="10"/>
    </row>
    <row r="4" spans="1:39" ht="15.75" hidden="1" customHeight="1" outlineLevel="1" x14ac:dyDescent="0.2">
      <c r="A4" s="18"/>
      <c r="B4" s="11" t="s">
        <v>5</v>
      </c>
      <c r="C4" s="12">
        <f>P446</f>
        <v>0</v>
      </c>
      <c r="D4" s="13"/>
      <c r="E4" s="13">
        <v>4368597.5558276754</v>
      </c>
      <c r="F4" s="14">
        <f t="shared" si="0"/>
        <v>-4368597.5558276754</v>
      </c>
      <c r="G4" s="15">
        <f t="shared" si="1"/>
        <v>-1</v>
      </c>
      <c r="H4" s="4"/>
      <c r="I4" s="5"/>
      <c r="J4" s="5"/>
      <c r="K4" s="5"/>
      <c r="L4" s="5"/>
      <c r="M4" s="5"/>
      <c r="N4" s="5"/>
      <c r="O4" s="5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8"/>
      <c r="AD4" s="9"/>
      <c r="AE4" s="10"/>
      <c r="AF4" s="10"/>
      <c r="AG4" s="10"/>
      <c r="AH4" s="10"/>
      <c r="AI4" s="10"/>
      <c r="AJ4" s="10"/>
      <c r="AK4" s="10"/>
      <c r="AL4" s="10"/>
      <c r="AM4" s="10"/>
    </row>
    <row r="5" spans="1:39" ht="15.75" hidden="1" customHeight="1" outlineLevel="1" x14ac:dyDescent="0.2">
      <c r="A5" s="18"/>
      <c r="B5" s="19" t="s">
        <v>6</v>
      </c>
      <c r="C5" s="4">
        <f>P458</f>
        <v>5434520.4645565376</v>
      </c>
      <c r="D5" s="4"/>
      <c r="E5" s="4"/>
      <c r="F5" s="4"/>
      <c r="G5" s="4"/>
      <c r="H5" s="4"/>
      <c r="I5" s="5"/>
      <c r="J5" s="5"/>
      <c r="K5" s="5"/>
      <c r="L5" s="5"/>
      <c r="M5" s="5"/>
      <c r="N5" s="5"/>
      <c r="O5" s="5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8"/>
      <c r="AD5" s="9"/>
      <c r="AE5" s="10"/>
      <c r="AF5" s="10"/>
      <c r="AG5" s="10"/>
      <c r="AH5" s="10"/>
      <c r="AI5" s="10"/>
      <c r="AJ5" s="10"/>
      <c r="AK5" s="10"/>
      <c r="AL5" s="10"/>
      <c r="AM5" s="10"/>
    </row>
    <row r="6" spans="1:39" ht="15.75" hidden="1" customHeight="1" outlineLevel="1" x14ac:dyDescent="0.2">
      <c r="A6" s="1"/>
      <c r="B6" s="19" t="s">
        <v>7</v>
      </c>
      <c r="C6" s="20">
        <f t="array" aca="1" ref="C6" ca="1">C3/ AVERAGE(INDIRECT("D"&amp;MATCH("Собственный капитал",$B:$B,0)&amp;":O"&amp;MATCH("Собственный капитал",$B:$B,0)))</f>
        <v>1.3520486340274382</v>
      </c>
      <c r="D6" s="21"/>
      <c r="E6" s="21"/>
      <c r="F6" s="21"/>
      <c r="G6" s="21"/>
      <c r="H6" s="21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3"/>
      <c r="AD6" s="9"/>
      <c r="AE6" s="10"/>
      <c r="AF6" s="10"/>
      <c r="AG6" s="10"/>
      <c r="AH6" s="10"/>
      <c r="AI6" s="10"/>
      <c r="AJ6" s="10"/>
      <c r="AK6" s="10"/>
      <c r="AL6" s="10"/>
      <c r="AM6" s="10"/>
    </row>
    <row r="7" spans="1:39" ht="15.75" hidden="1" customHeight="1" outlineLevel="1" x14ac:dyDescent="0.2">
      <c r="A7" s="18"/>
      <c r="B7" s="24"/>
      <c r="C7" s="22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8"/>
      <c r="AD7" s="9"/>
      <c r="AE7" s="10"/>
      <c r="AF7" s="10"/>
      <c r="AG7" s="10"/>
      <c r="AH7" s="10"/>
      <c r="AI7" s="10"/>
      <c r="AJ7" s="10"/>
      <c r="AK7" s="10"/>
      <c r="AL7" s="10"/>
      <c r="AM7" s="10"/>
    </row>
    <row r="8" spans="1:39" ht="15.75" customHeight="1" x14ac:dyDescent="0.2">
      <c r="A8" s="25"/>
      <c r="B8" s="26" t="s">
        <v>8</v>
      </c>
      <c r="C8" s="27"/>
      <c r="D8" s="479" t="s">
        <v>10</v>
      </c>
      <c r="E8" s="477"/>
      <c r="F8" s="477"/>
      <c r="G8" s="479" t="s">
        <v>11</v>
      </c>
      <c r="H8" s="477"/>
      <c r="I8" s="477"/>
      <c r="J8" s="477"/>
      <c r="K8" s="477"/>
      <c r="L8" s="477"/>
      <c r="M8" s="477"/>
      <c r="N8" s="477"/>
      <c r="O8" s="477"/>
      <c r="P8" s="477"/>
      <c r="Q8" s="477"/>
      <c r="R8" s="477"/>
      <c r="S8" s="538" t="s">
        <v>441</v>
      </c>
      <c r="T8" s="477"/>
      <c r="U8" s="477"/>
      <c r="V8" s="477"/>
      <c r="W8" s="477"/>
      <c r="X8" s="477"/>
      <c r="Y8" s="477"/>
      <c r="Z8" s="477"/>
      <c r="AA8" s="477"/>
      <c r="AB8" s="477"/>
      <c r="AC8" s="477"/>
      <c r="AD8" s="477"/>
      <c r="AE8" s="10"/>
      <c r="AF8" s="10"/>
      <c r="AG8" s="10"/>
      <c r="AH8" s="10"/>
      <c r="AI8" s="10"/>
      <c r="AJ8" s="10"/>
      <c r="AK8" s="10"/>
      <c r="AL8" s="10"/>
      <c r="AM8" s="10"/>
    </row>
    <row r="9" spans="1:39" ht="15.75" customHeight="1" collapsed="1" x14ac:dyDescent="0.2">
      <c r="A9" s="25" t="s">
        <v>12</v>
      </c>
      <c r="B9" s="29" t="s">
        <v>13</v>
      </c>
      <c r="C9" s="16"/>
      <c r="D9" s="30" t="s">
        <v>14</v>
      </c>
      <c r="E9" s="30" t="s">
        <v>15</v>
      </c>
      <c r="F9" s="30" t="s">
        <v>16</v>
      </c>
      <c r="G9" s="30" t="s">
        <v>17</v>
      </c>
      <c r="H9" s="30" t="s">
        <v>18</v>
      </c>
      <c r="I9" s="30" t="s">
        <v>19</v>
      </c>
      <c r="J9" s="30" t="s">
        <v>20</v>
      </c>
      <c r="K9" s="30" t="s">
        <v>21</v>
      </c>
      <c r="L9" s="30" t="s">
        <v>22</v>
      </c>
      <c r="M9" s="30" t="s">
        <v>23</v>
      </c>
      <c r="N9" s="30" t="s">
        <v>24</v>
      </c>
      <c r="O9" s="30" t="s">
        <v>25</v>
      </c>
      <c r="P9" s="30" t="s">
        <v>14</v>
      </c>
      <c r="Q9" s="30" t="s">
        <v>26</v>
      </c>
      <c r="R9" s="30" t="s">
        <v>16</v>
      </c>
      <c r="S9" s="30" t="s">
        <v>17</v>
      </c>
      <c r="T9" s="30" t="s">
        <v>18</v>
      </c>
      <c r="U9" s="30" t="s">
        <v>19</v>
      </c>
      <c r="V9" s="30" t="s">
        <v>20</v>
      </c>
      <c r="W9" s="30" t="s">
        <v>21</v>
      </c>
      <c r="X9" s="30" t="s">
        <v>22</v>
      </c>
      <c r="Y9" s="30" t="s">
        <v>23</v>
      </c>
      <c r="Z9" s="30" t="s">
        <v>24</v>
      </c>
      <c r="AA9" s="30" t="s">
        <v>25</v>
      </c>
      <c r="AB9" s="30" t="s">
        <v>14</v>
      </c>
      <c r="AC9" s="30" t="s">
        <v>26</v>
      </c>
      <c r="AD9" s="30" t="s">
        <v>16</v>
      </c>
      <c r="AE9" s="10"/>
      <c r="AF9" s="10"/>
      <c r="AG9" s="10"/>
      <c r="AH9" s="10"/>
      <c r="AI9" s="10"/>
      <c r="AJ9" s="10"/>
      <c r="AK9" s="10"/>
      <c r="AL9" s="10"/>
      <c r="AM9" s="10"/>
    </row>
    <row r="10" spans="1:39" ht="15.75" hidden="1" customHeight="1" outlineLevel="1" x14ac:dyDescent="0.2">
      <c r="A10" s="31"/>
      <c r="B10" s="32" t="s">
        <v>27</v>
      </c>
      <c r="C10" s="32"/>
      <c r="D10" s="33">
        <f t="shared" ref="D10:AD10" si="2">D15</f>
        <v>173360</v>
      </c>
      <c r="E10" s="33">
        <f t="shared" si="2"/>
        <v>362480</v>
      </c>
      <c r="F10" s="33">
        <f t="shared" si="2"/>
        <v>553838.19999999995</v>
      </c>
      <c r="G10" s="33">
        <f t="shared" si="2"/>
        <v>937316.1</v>
      </c>
      <c r="H10" s="33">
        <f t="shared" si="2"/>
        <v>962273.60400000005</v>
      </c>
      <c r="I10" s="33">
        <f t="shared" si="2"/>
        <v>1525969.2420000001</v>
      </c>
      <c r="J10" s="33">
        <f t="shared" si="2"/>
        <v>1373859.8928800002</v>
      </c>
      <c r="K10" s="33">
        <f t="shared" si="2"/>
        <v>1251329.6332399999</v>
      </c>
      <c r="L10" s="33">
        <f t="shared" si="2"/>
        <v>1061179.3764336</v>
      </c>
      <c r="M10" s="33">
        <f t="shared" si="2"/>
        <v>1054831.2193128001</v>
      </c>
      <c r="N10" s="33">
        <f t="shared" si="2"/>
        <v>1206499.162815392</v>
      </c>
      <c r="O10" s="33">
        <f t="shared" si="2"/>
        <v>1551822.5682488161</v>
      </c>
      <c r="P10" s="33">
        <f t="shared" si="2"/>
        <v>1927528.5158193861</v>
      </c>
      <c r="Q10" s="33">
        <f t="shared" si="2"/>
        <v>2328697.3650147393</v>
      </c>
      <c r="R10" s="33">
        <f t="shared" si="2"/>
        <v>3079803.1734802648</v>
      </c>
      <c r="S10" s="33">
        <f t="shared" si="2"/>
        <v>2953950.8203032427</v>
      </c>
      <c r="T10" s="33">
        <f t="shared" si="2"/>
        <v>3577002.298165658</v>
      </c>
      <c r="U10" s="33">
        <f t="shared" si="2"/>
        <v>3931935.780466713</v>
      </c>
      <c r="V10" s="33">
        <f t="shared" si="2"/>
        <v>3286156.3055964448</v>
      </c>
      <c r="W10" s="33">
        <f t="shared" si="2"/>
        <v>2961012.1717026769</v>
      </c>
      <c r="X10" s="33">
        <f t="shared" si="2"/>
        <v>2377359.9872312178</v>
      </c>
      <c r="Y10" s="33">
        <f t="shared" si="2"/>
        <v>2346577.7777745891</v>
      </c>
      <c r="Z10" s="33">
        <f t="shared" si="2"/>
        <v>2448957.5971908681</v>
      </c>
      <c r="AA10" s="33">
        <f t="shared" si="2"/>
        <v>3876345.5111104096</v>
      </c>
      <c r="AB10" s="33">
        <f t="shared" si="2"/>
        <v>4225448.0713819908</v>
      </c>
      <c r="AC10" s="33">
        <f t="shared" si="2"/>
        <v>4918782.3124442901</v>
      </c>
      <c r="AD10" s="33">
        <f t="shared" si="2"/>
        <v>5853622.875704038</v>
      </c>
      <c r="AE10" s="10"/>
      <c r="AF10" s="10"/>
      <c r="AG10" s="10"/>
      <c r="AH10" s="10"/>
      <c r="AI10" s="10"/>
      <c r="AJ10" s="10"/>
      <c r="AK10" s="10"/>
      <c r="AL10" s="10"/>
      <c r="AM10" s="10"/>
    </row>
    <row r="11" spans="1:39" ht="15.75" hidden="1" customHeight="1" outlineLevel="1" x14ac:dyDescent="0.2">
      <c r="A11" s="31"/>
      <c r="B11" s="32" t="s">
        <v>28</v>
      </c>
      <c r="C11" s="32"/>
      <c r="D11" s="33">
        <f t="shared" ref="D11:AD11" si="3">IFERROR(-(D346+D362)/D326,0)</f>
        <v>0</v>
      </c>
      <c r="E11" s="33">
        <f t="shared" si="3"/>
        <v>39739.147708859651</v>
      </c>
      <c r="F11" s="33">
        <f t="shared" si="3"/>
        <v>38822.382592262969</v>
      </c>
      <c r="G11" s="33">
        <f t="shared" si="3"/>
        <v>38869.473193201222</v>
      </c>
      <c r="H11" s="33">
        <f t="shared" si="3"/>
        <v>38523.971629979191</v>
      </c>
      <c r="I11" s="33">
        <f t="shared" si="3"/>
        <v>38436.021009496937</v>
      </c>
      <c r="J11" s="33">
        <f t="shared" si="3"/>
        <v>38375.677297204842</v>
      </c>
      <c r="K11" s="33">
        <f t="shared" si="3"/>
        <v>37543.498803678893</v>
      </c>
      <c r="L11" s="33">
        <f t="shared" si="3"/>
        <v>37361.497225362662</v>
      </c>
      <c r="M11" s="33">
        <f t="shared" si="3"/>
        <v>37427.625355834905</v>
      </c>
      <c r="N11" s="33">
        <f t="shared" si="3"/>
        <v>37966.55682177464</v>
      </c>
      <c r="O11" s="33">
        <f t="shared" si="3"/>
        <v>38225.365627829917</v>
      </c>
      <c r="P11" s="33">
        <f t="shared" si="3"/>
        <v>38415.285825709689</v>
      </c>
      <c r="Q11" s="33">
        <f t="shared" si="3"/>
        <v>38403.834879896043</v>
      </c>
      <c r="R11" s="33">
        <f t="shared" si="3"/>
        <v>38460.7181896927</v>
      </c>
      <c r="S11" s="33">
        <f t="shared" si="3"/>
        <v>38176.727777746622</v>
      </c>
      <c r="T11" s="33">
        <f t="shared" si="3"/>
        <v>38037.821194837816</v>
      </c>
      <c r="U11" s="33">
        <f t="shared" si="3"/>
        <v>38211.884981630792</v>
      </c>
      <c r="V11" s="33">
        <f t="shared" si="3"/>
        <v>37676.103198142198</v>
      </c>
      <c r="W11" s="33">
        <f t="shared" si="3"/>
        <v>37295.892578257699</v>
      </c>
      <c r="X11" s="33">
        <f t="shared" si="3"/>
        <v>37158.726993130076</v>
      </c>
      <c r="Y11" s="33">
        <f t="shared" si="3"/>
        <v>37298.93694476987</v>
      </c>
      <c r="Z11" s="33">
        <f t="shared" si="3"/>
        <v>37792.017486715195</v>
      </c>
      <c r="AA11" s="33">
        <f t="shared" si="3"/>
        <v>38389.724270372564</v>
      </c>
      <c r="AB11" s="33">
        <f t="shared" si="3"/>
        <v>38501.523799987634</v>
      </c>
      <c r="AC11" s="33">
        <f t="shared" si="3"/>
        <v>38176.46011693222</v>
      </c>
      <c r="AD11" s="33">
        <f t="shared" si="3"/>
        <v>38290.988922550292</v>
      </c>
      <c r="AE11" s="10"/>
      <c r="AF11" s="10"/>
      <c r="AG11" s="10"/>
      <c r="AH11" s="10"/>
      <c r="AI11" s="10"/>
      <c r="AJ11" s="10"/>
      <c r="AK11" s="10"/>
      <c r="AL11" s="10"/>
      <c r="AM11" s="10"/>
    </row>
    <row r="12" spans="1:39" ht="15.75" hidden="1" customHeight="1" outlineLevel="1" x14ac:dyDescent="0.2">
      <c r="A12" s="31"/>
      <c r="B12" s="32" t="s">
        <v>29</v>
      </c>
      <c r="C12" s="32"/>
      <c r="D12" s="33">
        <f t="shared" ref="D12:AD12" si="4">D374</f>
        <v>-41506.945000000007</v>
      </c>
      <c r="E12" s="33">
        <f t="shared" si="4"/>
        <v>17143.735000000004</v>
      </c>
      <c r="F12" s="33">
        <f t="shared" si="4"/>
        <v>105149.20749999996</v>
      </c>
      <c r="G12" s="33">
        <f t="shared" si="4"/>
        <v>271277.26624999999</v>
      </c>
      <c r="H12" s="33">
        <f t="shared" si="4"/>
        <v>287518.29105</v>
      </c>
      <c r="I12" s="33">
        <f t="shared" si="4"/>
        <v>537320.34852500004</v>
      </c>
      <c r="J12" s="33">
        <f t="shared" si="4"/>
        <v>393109.77734034444</v>
      </c>
      <c r="K12" s="33">
        <f t="shared" si="4"/>
        <v>363572.60636828688</v>
      </c>
      <c r="L12" s="33">
        <f t="shared" si="4"/>
        <v>290993.60010503966</v>
      </c>
      <c r="M12" s="33">
        <f t="shared" si="4"/>
        <v>287226.79342315433</v>
      </c>
      <c r="N12" s="33">
        <f t="shared" si="4"/>
        <v>336971.54525179736</v>
      </c>
      <c r="O12" s="33">
        <f t="shared" si="4"/>
        <v>465105.32728997909</v>
      </c>
      <c r="P12" s="33">
        <f t="shared" si="4"/>
        <v>604618.91145293636</v>
      </c>
      <c r="Q12" s="33">
        <f t="shared" si="4"/>
        <v>759241.42032510671</v>
      </c>
      <c r="R12" s="33">
        <f t="shared" si="4"/>
        <v>1069658.9561778426</v>
      </c>
      <c r="S12" s="33">
        <f t="shared" si="4"/>
        <v>1033717.7039911957</v>
      </c>
      <c r="T12" s="33">
        <f t="shared" si="4"/>
        <v>1288160.2000722401</v>
      </c>
      <c r="U12" s="33">
        <f t="shared" si="4"/>
        <v>1418515.1242567513</v>
      </c>
      <c r="V12" s="33">
        <f t="shared" si="4"/>
        <v>1192102.7366470404</v>
      </c>
      <c r="W12" s="33">
        <f t="shared" si="4"/>
        <v>1079423.9213700918</v>
      </c>
      <c r="X12" s="33">
        <f t="shared" si="4"/>
        <v>845579.33808693895</v>
      </c>
      <c r="Y12" s="33">
        <f t="shared" si="4"/>
        <v>827314.09511043679</v>
      </c>
      <c r="Z12" s="33">
        <f t="shared" si="4"/>
        <v>855569.84738404467</v>
      </c>
      <c r="AA12" s="33">
        <f t="shared" si="4"/>
        <v>1395948.8200767552</v>
      </c>
      <c r="AB12" s="33">
        <f t="shared" si="4"/>
        <v>1526634.0996326867</v>
      </c>
      <c r="AC12" s="33">
        <f t="shared" si="4"/>
        <v>1824340.8865652466</v>
      </c>
      <c r="AD12" s="33">
        <f t="shared" si="4"/>
        <v>2186154.0113429618</v>
      </c>
      <c r="AE12" s="10"/>
      <c r="AF12" s="10"/>
      <c r="AG12" s="10"/>
      <c r="AH12" s="10"/>
      <c r="AI12" s="10"/>
      <c r="AJ12" s="10"/>
      <c r="AK12" s="10"/>
      <c r="AL12" s="10"/>
      <c r="AM12" s="10"/>
    </row>
    <row r="13" spans="1:39" ht="15.75" hidden="1" customHeight="1" outlineLevel="1" x14ac:dyDescent="0.2">
      <c r="A13" s="31"/>
      <c r="B13" s="32" t="s">
        <v>30</v>
      </c>
      <c r="C13" s="32"/>
      <c r="D13" s="33">
        <f t="shared" ref="D13:AD13" si="5">D443</f>
        <v>-63066.945000000007</v>
      </c>
      <c r="E13" s="33">
        <f t="shared" si="5"/>
        <v>-69443.210000000006</v>
      </c>
      <c r="F13" s="33">
        <f t="shared" si="5"/>
        <v>14145.997499999954</v>
      </c>
      <c r="G13" s="33">
        <f t="shared" si="5"/>
        <v>240343.26374999993</v>
      </c>
      <c r="H13" s="33">
        <f t="shared" si="5"/>
        <v>527861.55479999993</v>
      </c>
      <c r="I13" s="33">
        <f t="shared" si="5"/>
        <v>1000501.903325</v>
      </c>
      <c r="J13" s="33">
        <f t="shared" si="5"/>
        <v>1413211.6806653445</v>
      </c>
      <c r="K13" s="33">
        <f t="shared" si="5"/>
        <v>1800304.2870336312</v>
      </c>
      <c r="L13" s="33">
        <f t="shared" si="5"/>
        <v>2112857.8871386712</v>
      </c>
      <c r="M13" s="33">
        <f t="shared" si="5"/>
        <v>2400084.6805618256</v>
      </c>
      <c r="N13" s="33">
        <f t="shared" si="5"/>
        <v>2715496.2258136231</v>
      </c>
      <c r="O13" s="33">
        <f t="shared" si="5"/>
        <v>3137481.5531036025</v>
      </c>
      <c r="P13" s="33">
        <f t="shared" si="5"/>
        <v>3697020.4645565385</v>
      </c>
      <c r="Q13" s="33">
        <f t="shared" si="5"/>
        <v>4411181.8848816454</v>
      </c>
      <c r="R13" s="33">
        <f t="shared" si="5"/>
        <v>5392640.8410594873</v>
      </c>
      <c r="S13" s="33">
        <f t="shared" si="5"/>
        <v>6447918.5450506834</v>
      </c>
      <c r="T13" s="33">
        <f t="shared" si="5"/>
        <v>7669438.7451229235</v>
      </c>
      <c r="U13" s="33">
        <f t="shared" si="5"/>
        <v>9042873.869379675</v>
      </c>
      <c r="V13" s="33">
        <f t="shared" si="5"/>
        <v>10325136.606026715</v>
      </c>
      <c r="W13" s="33">
        <f t="shared" si="5"/>
        <v>11449640.527396807</v>
      </c>
      <c r="X13" s="33">
        <f t="shared" si="5"/>
        <v>12359899.865483746</v>
      </c>
      <c r="Y13" s="33">
        <f t="shared" si="5"/>
        <v>13187213.960594183</v>
      </c>
      <c r="Z13" s="33">
        <f t="shared" si="5"/>
        <v>14021223.807978228</v>
      </c>
      <c r="AA13" s="33">
        <f t="shared" si="5"/>
        <v>15238812.628054984</v>
      </c>
      <c r="AB13" s="33">
        <f t="shared" si="5"/>
        <v>16722326.727687672</v>
      </c>
      <c r="AC13" s="33">
        <f t="shared" si="5"/>
        <v>18480027.614252917</v>
      </c>
      <c r="AD13" s="33">
        <f t="shared" si="5"/>
        <v>20554461.625595879</v>
      </c>
      <c r="AE13" s="10"/>
      <c r="AF13" s="10"/>
      <c r="AG13" s="10"/>
      <c r="AH13" s="10"/>
      <c r="AI13" s="10"/>
      <c r="AJ13" s="10"/>
      <c r="AK13" s="10"/>
      <c r="AL13" s="10"/>
      <c r="AM13" s="10"/>
    </row>
    <row r="14" spans="1:39" ht="15.75" hidden="1" customHeight="1" outlineLevel="1" x14ac:dyDescent="0.2">
      <c r="A14" s="34"/>
      <c r="B14" s="25"/>
      <c r="C14" s="35"/>
      <c r="D14" s="35"/>
      <c r="E14" s="35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10"/>
      <c r="AF14" s="10"/>
      <c r="AG14" s="10"/>
      <c r="AH14" s="10"/>
      <c r="AI14" s="10"/>
      <c r="AJ14" s="10"/>
      <c r="AK14" s="10"/>
      <c r="AL14" s="10"/>
      <c r="AM14" s="10"/>
    </row>
    <row r="15" spans="1:39" ht="15.75" customHeight="1" x14ac:dyDescent="0.2">
      <c r="A15" s="36"/>
      <c r="B15" s="37" t="s">
        <v>31</v>
      </c>
      <c r="C15" s="37"/>
      <c r="D15" s="38">
        <f t="shared" ref="D15:AD15" si="6">D16+D89+D150</f>
        <v>173360</v>
      </c>
      <c r="E15" s="38">
        <f t="shared" si="6"/>
        <v>362480</v>
      </c>
      <c r="F15" s="38">
        <f t="shared" si="6"/>
        <v>553838.19999999995</v>
      </c>
      <c r="G15" s="38">
        <f t="shared" si="6"/>
        <v>937316.1</v>
      </c>
      <c r="H15" s="38">
        <f t="shared" si="6"/>
        <v>962273.60400000005</v>
      </c>
      <c r="I15" s="38">
        <f t="shared" si="6"/>
        <v>1525969.2420000001</v>
      </c>
      <c r="J15" s="38">
        <f t="shared" si="6"/>
        <v>1373859.8928800002</v>
      </c>
      <c r="K15" s="38">
        <f t="shared" si="6"/>
        <v>1251329.6332399999</v>
      </c>
      <c r="L15" s="38">
        <f t="shared" si="6"/>
        <v>1061179.3764336</v>
      </c>
      <c r="M15" s="38">
        <f t="shared" si="6"/>
        <v>1054831.2193128001</v>
      </c>
      <c r="N15" s="38">
        <f t="shared" si="6"/>
        <v>1206499.162815392</v>
      </c>
      <c r="O15" s="38">
        <f t="shared" si="6"/>
        <v>1551822.5682488161</v>
      </c>
      <c r="P15" s="38">
        <f t="shared" si="6"/>
        <v>1927528.5158193861</v>
      </c>
      <c r="Q15" s="38">
        <f t="shared" si="6"/>
        <v>2328697.3650147393</v>
      </c>
      <c r="R15" s="38">
        <f t="shared" si="6"/>
        <v>3079803.1734802648</v>
      </c>
      <c r="S15" s="38">
        <f t="shared" si="6"/>
        <v>2953950.8203032427</v>
      </c>
      <c r="T15" s="38">
        <f t="shared" si="6"/>
        <v>3577002.298165658</v>
      </c>
      <c r="U15" s="38">
        <f t="shared" si="6"/>
        <v>3931935.780466713</v>
      </c>
      <c r="V15" s="38">
        <f t="shared" si="6"/>
        <v>3286156.3055964448</v>
      </c>
      <c r="W15" s="38">
        <f t="shared" si="6"/>
        <v>2961012.1717026769</v>
      </c>
      <c r="X15" s="38">
        <f t="shared" si="6"/>
        <v>2377359.9872312178</v>
      </c>
      <c r="Y15" s="38">
        <f t="shared" si="6"/>
        <v>2346577.7777745891</v>
      </c>
      <c r="Z15" s="38">
        <f t="shared" si="6"/>
        <v>2448957.5971908681</v>
      </c>
      <c r="AA15" s="38">
        <f t="shared" si="6"/>
        <v>3876345.5111104096</v>
      </c>
      <c r="AB15" s="38">
        <f t="shared" si="6"/>
        <v>4225448.0713819908</v>
      </c>
      <c r="AC15" s="38">
        <f t="shared" si="6"/>
        <v>4918782.3124442901</v>
      </c>
      <c r="AD15" s="38">
        <f t="shared" si="6"/>
        <v>5853622.875704038</v>
      </c>
      <c r="AE15" s="39"/>
      <c r="AF15" s="39"/>
      <c r="AG15" s="39"/>
      <c r="AH15" s="39"/>
      <c r="AI15" s="39"/>
      <c r="AJ15" s="39"/>
      <c r="AK15" s="39"/>
      <c r="AL15" s="39"/>
      <c r="AM15" s="39"/>
    </row>
    <row r="16" spans="1:39" ht="16.5" customHeight="1" x14ac:dyDescent="0.2">
      <c r="A16" s="40"/>
      <c r="B16" s="41" t="s">
        <v>32</v>
      </c>
      <c r="C16" s="41"/>
      <c r="D16" s="42">
        <f t="shared" ref="D16:AD16" si="7">D17+D29+D41+D53+D65+D77</f>
        <v>94560</v>
      </c>
      <c r="E16" s="42">
        <f t="shared" si="7"/>
        <v>204880</v>
      </c>
      <c r="F16" s="42">
        <f t="shared" si="7"/>
        <v>333198.2</v>
      </c>
      <c r="G16" s="42">
        <f t="shared" si="7"/>
        <v>559076.1</v>
      </c>
      <c r="H16" s="42">
        <f t="shared" si="7"/>
        <v>584033.60400000005</v>
      </c>
      <c r="I16" s="42">
        <f t="shared" si="7"/>
        <v>927089.24200000009</v>
      </c>
      <c r="J16" s="42">
        <f t="shared" si="7"/>
        <v>838019.89288000006</v>
      </c>
      <c r="K16" s="42">
        <f t="shared" si="7"/>
        <v>794289.63324</v>
      </c>
      <c r="L16" s="42">
        <f t="shared" si="7"/>
        <v>682939.37643359997</v>
      </c>
      <c r="M16" s="42">
        <f t="shared" si="7"/>
        <v>676591.21931280009</v>
      </c>
      <c r="N16" s="42">
        <f t="shared" si="7"/>
        <v>749459.16281539202</v>
      </c>
      <c r="O16" s="42">
        <f t="shared" si="7"/>
        <v>952942.56824881607</v>
      </c>
      <c r="P16" s="42">
        <f t="shared" si="7"/>
        <v>1171048.5158193861</v>
      </c>
      <c r="Q16" s="42">
        <f t="shared" si="7"/>
        <v>1414617.3650147396</v>
      </c>
      <c r="R16" s="42">
        <f t="shared" si="7"/>
        <v>1866283.1734802648</v>
      </c>
      <c r="S16" s="42">
        <f t="shared" si="7"/>
        <v>1819230.8203032427</v>
      </c>
      <c r="T16" s="42">
        <f t="shared" si="7"/>
        <v>2221642.298165658</v>
      </c>
      <c r="U16" s="42">
        <f t="shared" si="7"/>
        <v>2418975.780466713</v>
      </c>
      <c r="V16" s="42">
        <f t="shared" si="7"/>
        <v>2072636.305596445</v>
      </c>
      <c r="W16" s="42">
        <f t="shared" si="7"/>
        <v>1905092.1717026769</v>
      </c>
      <c r="X16" s="42">
        <f t="shared" si="7"/>
        <v>1542079.9872312178</v>
      </c>
      <c r="Y16" s="42">
        <f t="shared" si="7"/>
        <v>1511297.7777745891</v>
      </c>
      <c r="Z16" s="42">
        <f t="shared" si="7"/>
        <v>1534877.5971908681</v>
      </c>
      <c r="AA16" s="42">
        <f t="shared" si="7"/>
        <v>2363385.5111104096</v>
      </c>
      <c r="AB16" s="42">
        <f t="shared" si="7"/>
        <v>2554888.0713819908</v>
      </c>
      <c r="AC16" s="42">
        <f t="shared" si="7"/>
        <v>3027582.3124442901</v>
      </c>
      <c r="AD16" s="42">
        <f t="shared" si="7"/>
        <v>3584182.875704038</v>
      </c>
      <c r="AE16" s="10"/>
      <c r="AF16" s="10"/>
      <c r="AG16" s="10"/>
      <c r="AH16" s="10"/>
      <c r="AI16" s="10"/>
      <c r="AJ16" s="10"/>
      <c r="AK16" s="10"/>
      <c r="AL16" s="10"/>
      <c r="AM16" s="10"/>
    </row>
    <row r="17" spans="1:39" ht="16.5" customHeight="1" collapsed="1" x14ac:dyDescent="0.2">
      <c r="A17" s="16"/>
      <c r="B17" s="43" t="s">
        <v>432</v>
      </c>
      <c r="C17" s="44" t="s">
        <v>31</v>
      </c>
      <c r="D17" s="45">
        <f>$C28*D27</f>
        <v>12750</v>
      </c>
      <c r="E17" s="45">
        <f t="shared" ref="E17:AD17" si="8">$C28*E25</f>
        <v>27625</v>
      </c>
      <c r="F17" s="45">
        <f t="shared" si="8"/>
        <v>42500</v>
      </c>
      <c r="G17" s="45">
        <f t="shared" si="8"/>
        <v>70125</v>
      </c>
      <c r="H17" s="45">
        <f t="shared" si="8"/>
        <v>70125</v>
      </c>
      <c r="I17" s="45">
        <f t="shared" si="8"/>
        <v>110500</v>
      </c>
      <c r="J17" s="45">
        <f t="shared" si="8"/>
        <v>97750</v>
      </c>
      <c r="K17" s="45">
        <f t="shared" si="8"/>
        <v>82875</v>
      </c>
      <c r="L17" s="45">
        <f t="shared" si="8"/>
        <v>70125</v>
      </c>
      <c r="M17" s="45">
        <f t="shared" si="8"/>
        <v>70125</v>
      </c>
      <c r="N17" s="45">
        <f t="shared" si="8"/>
        <v>82875</v>
      </c>
      <c r="O17" s="45">
        <f t="shared" si="8"/>
        <v>110500</v>
      </c>
      <c r="P17" s="45">
        <f t="shared" si="8"/>
        <v>138125</v>
      </c>
      <c r="Q17" s="45">
        <f t="shared" si="8"/>
        <v>165750</v>
      </c>
      <c r="R17" s="45">
        <f t="shared" si="8"/>
        <v>221000</v>
      </c>
      <c r="S17" s="45">
        <f t="shared" si="8"/>
        <v>208250</v>
      </c>
      <c r="T17" s="45">
        <f t="shared" si="8"/>
        <v>250750</v>
      </c>
      <c r="U17" s="45">
        <f t="shared" si="8"/>
        <v>278375</v>
      </c>
      <c r="V17" s="45">
        <f t="shared" si="8"/>
        <v>221000</v>
      </c>
      <c r="W17" s="45">
        <f t="shared" si="8"/>
        <v>193375</v>
      </c>
      <c r="X17" s="45">
        <f t="shared" si="8"/>
        <v>153000</v>
      </c>
      <c r="Y17" s="45">
        <f t="shared" si="8"/>
        <v>153000</v>
      </c>
      <c r="Z17" s="45">
        <f t="shared" si="8"/>
        <v>165750</v>
      </c>
      <c r="AA17" s="45">
        <f t="shared" si="8"/>
        <v>278375</v>
      </c>
      <c r="AB17" s="45">
        <f t="shared" si="8"/>
        <v>303875</v>
      </c>
      <c r="AC17" s="45">
        <f t="shared" si="8"/>
        <v>346375</v>
      </c>
      <c r="AD17" s="45">
        <f t="shared" si="8"/>
        <v>416500</v>
      </c>
      <c r="AE17" s="10"/>
      <c r="AF17" s="10"/>
      <c r="AG17" s="10"/>
      <c r="AH17" s="10"/>
      <c r="AI17" s="10"/>
      <c r="AJ17" s="10"/>
      <c r="AK17" s="10"/>
      <c r="AL17" s="10"/>
      <c r="AM17" s="10"/>
    </row>
    <row r="18" spans="1:39" ht="16.5" hidden="1" customHeight="1" outlineLevel="1" x14ac:dyDescent="0.2">
      <c r="A18" s="16"/>
      <c r="B18" s="46" t="s">
        <v>33</v>
      </c>
      <c r="C18" s="7" t="s">
        <v>34</v>
      </c>
      <c r="D18" s="47">
        <v>0.1</v>
      </c>
      <c r="E18" s="47">
        <v>0.2</v>
      </c>
      <c r="F18" s="47">
        <v>0.3</v>
      </c>
      <c r="G18" s="47">
        <v>0.5</v>
      </c>
      <c r="H18" s="47">
        <v>0.5</v>
      </c>
      <c r="I18" s="47">
        <v>0.8</v>
      </c>
      <c r="J18" s="47">
        <v>0.7</v>
      </c>
      <c r="K18" s="47">
        <v>0.6</v>
      </c>
      <c r="L18" s="47">
        <v>0.5</v>
      </c>
      <c r="M18" s="47">
        <v>0.5</v>
      </c>
      <c r="N18" s="47">
        <v>0.6</v>
      </c>
      <c r="O18" s="47">
        <v>0.8</v>
      </c>
      <c r="P18" s="47">
        <v>1</v>
      </c>
      <c r="Q18" s="47">
        <v>1.2</v>
      </c>
      <c r="R18" s="47">
        <v>1.6</v>
      </c>
      <c r="S18" s="47">
        <v>1.5</v>
      </c>
      <c r="T18" s="47">
        <v>1.8</v>
      </c>
      <c r="U18" s="47">
        <v>2</v>
      </c>
      <c r="V18" s="47">
        <v>1.6</v>
      </c>
      <c r="W18" s="47">
        <v>1.4</v>
      </c>
      <c r="X18" s="47">
        <v>1.1000000000000001</v>
      </c>
      <c r="Y18" s="47">
        <v>1.1000000000000001</v>
      </c>
      <c r="Z18" s="47">
        <v>1.2</v>
      </c>
      <c r="AA18" s="47">
        <v>2</v>
      </c>
      <c r="AB18" s="47">
        <v>2.2000000000000002</v>
      </c>
      <c r="AC18" s="47">
        <v>2.5</v>
      </c>
      <c r="AD18" s="47">
        <v>3</v>
      </c>
      <c r="AE18" s="10"/>
      <c r="AF18" s="10"/>
      <c r="AG18" s="10"/>
      <c r="AH18" s="10"/>
      <c r="AI18" s="10"/>
      <c r="AJ18" s="10"/>
      <c r="AK18" s="10"/>
      <c r="AL18" s="10"/>
      <c r="AM18" s="10"/>
    </row>
    <row r="19" spans="1:39" ht="15.75" hidden="1" customHeight="1" outlineLevel="1" x14ac:dyDescent="0.2">
      <c r="A19" s="48"/>
      <c r="B19" s="49" t="s">
        <v>35</v>
      </c>
      <c r="C19" s="50">
        <v>10000</v>
      </c>
      <c r="D19" s="51">
        <f t="shared" ref="D19:AD19" si="9">ROUND(D18*$C19,0)</f>
        <v>1000</v>
      </c>
      <c r="E19" s="51">
        <f t="shared" si="9"/>
        <v>2000</v>
      </c>
      <c r="F19" s="51">
        <f t="shared" si="9"/>
        <v>3000</v>
      </c>
      <c r="G19" s="51">
        <f t="shared" si="9"/>
        <v>5000</v>
      </c>
      <c r="H19" s="51">
        <f t="shared" si="9"/>
        <v>5000</v>
      </c>
      <c r="I19" s="51">
        <f t="shared" si="9"/>
        <v>8000</v>
      </c>
      <c r="J19" s="51">
        <f t="shared" si="9"/>
        <v>7000</v>
      </c>
      <c r="K19" s="51">
        <f t="shared" si="9"/>
        <v>6000</v>
      </c>
      <c r="L19" s="51">
        <f t="shared" si="9"/>
        <v>5000</v>
      </c>
      <c r="M19" s="51">
        <f t="shared" si="9"/>
        <v>5000</v>
      </c>
      <c r="N19" s="51">
        <f t="shared" si="9"/>
        <v>6000</v>
      </c>
      <c r="O19" s="51">
        <f t="shared" si="9"/>
        <v>8000</v>
      </c>
      <c r="P19" s="51">
        <f t="shared" si="9"/>
        <v>10000</v>
      </c>
      <c r="Q19" s="51">
        <f t="shared" si="9"/>
        <v>12000</v>
      </c>
      <c r="R19" s="51">
        <f t="shared" si="9"/>
        <v>16000</v>
      </c>
      <c r="S19" s="51">
        <f t="shared" si="9"/>
        <v>15000</v>
      </c>
      <c r="T19" s="51">
        <f t="shared" si="9"/>
        <v>18000</v>
      </c>
      <c r="U19" s="51">
        <f t="shared" si="9"/>
        <v>20000</v>
      </c>
      <c r="V19" s="51">
        <f t="shared" si="9"/>
        <v>16000</v>
      </c>
      <c r="W19" s="51">
        <f t="shared" si="9"/>
        <v>14000</v>
      </c>
      <c r="X19" s="51">
        <f t="shared" si="9"/>
        <v>11000</v>
      </c>
      <c r="Y19" s="51">
        <f t="shared" si="9"/>
        <v>11000</v>
      </c>
      <c r="Z19" s="51">
        <f t="shared" si="9"/>
        <v>12000</v>
      </c>
      <c r="AA19" s="51">
        <f t="shared" si="9"/>
        <v>20000</v>
      </c>
      <c r="AB19" s="51">
        <f t="shared" si="9"/>
        <v>22000</v>
      </c>
      <c r="AC19" s="51">
        <f t="shared" si="9"/>
        <v>25000</v>
      </c>
      <c r="AD19" s="51">
        <f t="shared" si="9"/>
        <v>30000</v>
      </c>
      <c r="AE19" s="10"/>
      <c r="AF19" s="10"/>
      <c r="AG19" s="10"/>
      <c r="AH19" s="10"/>
      <c r="AI19" s="10"/>
      <c r="AJ19" s="10"/>
      <c r="AK19" s="10"/>
      <c r="AL19" s="10"/>
      <c r="AM19" s="10"/>
    </row>
    <row r="20" spans="1:39" ht="15.75" hidden="1" customHeight="1" outlineLevel="1" x14ac:dyDescent="0.2">
      <c r="A20" s="48"/>
      <c r="B20" s="49" t="s">
        <v>36</v>
      </c>
      <c r="C20" s="52">
        <v>0.12</v>
      </c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10"/>
      <c r="AF20" s="10"/>
      <c r="AG20" s="10"/>
      <c r="AH20" s="10"/>
      <c r="AI20" s="10"/>
      <c r="AJ20" s="10"/>
      <c r="AK20" s="10"/>
      <c r="AL20" s="10"/>
      <c r="AM20" s="10"/>
    </row>
    <row r="21" spans="1:39" ht="15.75" hidden="1" customHeight="1" outlineLevel="1" x14ac:dyDescent="0.2">
      <c r="A21" s="48"/>
      <c r="B21" s="53" t="s">
        <v>37</v>
      </c>
      <c r="C21" s="54"/>
      <c r="D21" s="51">
        <f t="shared" ref="D21:AD21" si="10">ROUND(D19*$C20,0)</f>
        <v>120</v>
      </c>
      <c r="E21" s="51">
        <f t="shared" si="10"/>
        <v>240</v>
      </c>
      <c r="F21" s="51">
        <f t="shared" si="10"/>
        <v>360</v>
      </c>
      <c r="G21" s="51">
        <f t="shared" si="10"/>
        <v>600</v>
      </c>
      <c r="H21" s="51">
        <f t="shared" si="10"/>
        <v>600</v>
      </c>
      <c r="I21" s="51">
        <f t="shared" si="10"/>
        <v>960</v>
      </c>
      <c r="J21" s="51">
        <f t="shared" si="10"/>
        <v>840</v>
      </c>
      <c r="K21" s="51">
        <f t="shared" si="10"/>
        <v>720</v>
      </c>
      <c r="L21" s="51">
        <f t="shared" si="10"/>
        <v>600</v>
      </c>
      <c r="M21" s="51">
        <f t="shared" si="10"/>
        <v>600</v>
      </c>
      <c r="N21" s="51">
        <f t="shared" si="10"/>
        <v>720</v>
      </c>
      <c r="O21" s="51">
        <f t="shared" si="10"/>
        <v>960</v>
      </c>
      <c r="P21" s="51">
        <f t="shared" si="10"/>
        <v>1200</v>
      </c>
      <c r="Q21" s="51">
        <f t="shared" si="10"/>
        <v>1440</v>
      </c>
      <c r="R21" s="51">
        <f t="shared" si="10"/>
        <v>1920</v>
      </c>
      <c r="S21" s="51">
        <f t="shared" si="10"/>
        <v>1800</v>
      </c>
      <c r="T21" s="51">
        <f t="shared" si="10"/>
        <v>2160</v>
      </c>
      <c r="U21" s="51">
        <f t="shared" si="10"/>
        <v>2400</v>
      </c>
      <c r="V21" s="51">
        <f t="shared" si="10"/>
        <v>1920</v>
      </c>
      <c r="W21" s="51">
        <f t="shared" si="10"/>
        <v>1680</v>
      </c>
      <c r="X21" s="51">
        <f t="shared" si="10"/>
        <v>1320</v>
      </c>
      <c r="Y21" s="51">
        <f t="shared" si="10"/>
        <v>1320</v>
      </c>
      <c r="Z21" s="51">
        <f t="shared" si="10"/>
        <v>1440</v>
      </c>
      <c r="AA21" s="51">
        <f t="shared" si="10"/>
        <v>2400</v>
      </c>
      <c r="AB21" s="51">
        <f t="shared" si="10"/>
        <v>2640</v>
      </c>
      <c r="AC21" s="51">
        <f t="shared" si="10"/>
        <v>3000</v>
      </c>
      <c r="AD21" s="51">
        <f t="shared" si="10"/>
        <v>3600</v>
      </c>
      <c r="AE21" s="10"/>
      <c r="AF21" s="10"/>
      <c r="AG21" s="10"/>
      <c r="AH21" s="10"/>
      <c r="AI21" s="10"/>
      <c r="AJ21" s="10"/>
      <c r="AK21" s="10"/>
      <c r="AL21" s="10"/>
      <c r="AM21" s="10"/>
    </row>
    <row r="22" spans="1:39" ht="15.75" hidden="1" customHeight="1" outlineLevel="1" x14ac:dyDescent="0.2">
      <c r="A22" s="16"/>
      <c r="B22" s="49" t="s">
        <v>38</v>
      </c>
      <c r="C22" s="55">
        <v>0.16</v>
      </c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  <c r="AE22" s="10"/>
      <c r="AF22" s="10"/>
      <c r="AG22" s="10"/>
      <c r="AH22" s="10"/>
      <c r="AI22" s="10"/>
      <c r="AJ22" s="10"/>
      <c r="AK22" s="10"/>
      <c r="AL22" s="10"/>
      <c r="AM22" s="10"/>
    </row>
    <row r="23" spans="1:39" ht="15.75" hidden="1" customHeight="1" outlineLevel="1" x14ac:dyDescent="0.2">
      <c r="A23" s="48"/>
      <c r="B23" s="53" t="s">
        <v>39</v>
      </c>
      <c r="C23" s="56"/>
      <c r="D23" s="51">
        <f t="shared" ref="D23:AD23" si="11">ROUND(D21*$C22,0)</f>
        <v>19</v>
      </c>
      <c r="E23" s="51">
        <f t="shared" si="11"/>
        <v>38</v>
      </c>
      <c r="F23" s="51">
        <f t="shared" si="11"/>
        <v>58</v>
      </c>
      <c r="G23" s="51">
        <f t="shared" si="11"/>
        <v>96</v>
      </c>
      <c r="H23" s="51">
        <f t="shared" si="11"/>
        <v>96</v>
      </c>
      <c r="I23" s="51">
        <f t="shared" si="11"/>
        <v>154</v>
      </c>
      <c r="J23" s="51">
        <f t="shared" si="11"/>
        <v>134</v>
      </c>
      <c r="K23" s="51">
        <f t="shared" si="11"/>
        <v>115</v>
      </c>
      <c r="L23" s="51">
        <f t="shared" si="11"/>
        <v>96</v>
      </c>
      <c r="M23" s="51">
        <f t="shared" si="11"/>
        <v>96</v>
      </c>
      <c r="N23" s="51">
        <f t="shared" si="11"/>
        <v>115</v>
      </c>
      <c r="O23" s="51">
        <f t="shared" si="11"/>
        <v>154</v>
      </c>
      <c r="P23" s="51">
        <f t="shared" si="11"/>
        <v>192</v>
      </c>
      <c r="Q23" s="51">
        <f t="shared" si="11"/>
        <v>230</v>
      </c>
      <c r="R23" s="51">
        <f t="shared" si="11"/>
        <v>307</v>
      </c>
      <c r="S23" s="51">
        <f t="shared" si="11"/>
        <v>288</v>
      </c>
      <c r="T23" s="51">
        <f t="shared" si="11"/>
        <v>346</v>
      </c>
      <c r="U23" s="51">
        <f t="shared" si="11"/>
        <v>384</v>
      </c>
      <c r="V23" s="51">
        <f t="shared" si="11"/>
        <v>307</v>
      </c>
      <c r="W23" s="51">
        <f t="shared" si="11"/>
        <v>269</v>
      </c>
      <c r="X23" s="51">
        <f t="shared" si="11"/>
        <v>211</v>
      </c>
      <c r="Y23" s="51">
        <f t="shared" si="11"/>
        <v>211</v>
      </c>
      <c r="Z23" s="51">
        <f t="shared" si="11"/>
        <v>230</v>
      </c>
      <c r="AA23" s="51">
        <f t="shared" si="11"/>
        <v>384</v>
      </c>
      <c r="AB23" s="51">
        <f t="shared" si="11"/>
        <v>422</v>
      </c>
      <c r="AC23" s="51">
        <f t="shared" si="11"/>
        <v>480</v>
      </c>
      <c r="AD23" s="51">
        <f t="shared" si="11"/>
        <v>576</v>
      </c>
      <c r="AE23" s="10"/>
      <c r="AF23" s="10"/>
      <c r="AG23" s="10"/>
      <c r="AH23" s="10"/>
      <c r="AI23" s="10"/>
      <c r="AJ23" s="10"/>
      <c r="AK23" s="10"/>
      <c r="AL23" s="10"/>
      <c r="AM23" s="10"/>
    </row>
    <row r="24" spans="1:39" ht="15.75" hidden="1" customHeight="1" outlineLevel="1" x14ac:dyDescent="0.2">
      <c r="A24" s="16"/>
      <c r="B24" s="49" t="s">
        <v>40</v>
      </c>
      <c r="C24" s="55">
        <v>0.34</v>
      </c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10"/>
      <c r="AF24" s="10"/>
      <c r="AG24" s="10"/>
      <c r="AH24" s="10"/>
      <c r="AI24" s="10"/>
      <c r="AJ24" s="10"/>
      <c r="AK24" s="10"/>
      <c r="AL24" s="10"/>
      <c r="AM24" s="10"/>
    </row>
    <row r="25" spans="1:39" ht="15.75" hidden="1" customHeight="1" outlineLevel="1" x14ac:dyDescent="0.2">
      <c r="A25" s="16"/>
      <c r="B25" s="53" t="s">
        <v>41</v>
      </c>
      <c r="C25" s="56"/>
      <c r="D25" s="51">
        <f t="shared" ref="D25:AD25" si="12">ROUND(D23*$C24,0)</f>
        <v>6</v>
      </c>
      <c r="E25" s="51">
        <f t="shared" si="12"/>
        <v>13</v>
      </c>
      <c r="F25" s="51">
        <f t="shared" si="12"/>
        <v>20</v>
      </c>
      <c r="G25" s="51">
        <f t="shared" si="12"/>
        <v>33</v>
      </c>
      <c r="H25" s="51">
        <f t="shared" si="12"/>
        <v>33</v>
      </c>
      <c r="I25" s="51">
        <f t="shared" si="12"/>
        <v>52</v>
      </c>
      <c r="J25" s="51">
        <f t="shared" si="12"/>
        <v>46</v>
      </c>
      <c r="K25" s="51">
        <f t="shared" si="12"/>
        <v>39</v>
      </c>
      <c r="L25" s="51">
        <f t="shared" si="12"/>
        <v>33</v>
      </c>
      <c r="M25" s="51">
        <f t="shared" si="12"/>
        <v>33</v>
      </c>
      <c r="N25" s="51">
        <f t="shared" si="12"/>
        <v>39</v>
      </c>
      <c r="O25" s="51">
        <f t="shared" si="12"/>
        <v>52</v>
      </c>
      <c r="P25" s="51">
        <f t="shared" si="12"/>
        <v>65</v>
      </c>
      <c r="Q25" s="51">
        <f t="shared" si="12"/>
        <v>78</v>
      </c>
      <c r="R25" s="51">
        <f t="shared" si="12"/>
        <v>104</v>
      </c>
      <c r="S25" s="51">
        <f t="shared" si="12"/>
        <v>98</v>
      </c>
      <c r="T25" s="51">
        <f t="shared" si="12"/>
        <v>118</v>
      </c>
      <c r="U25" s="51">
        <f t="shared" si="12"/>
        <v>131</v>
      </c>
      <c r="V25" s="51">
        <f t="shared" si="12"/>
        <v>104</v>
      </c>
      <c r="W25" s="51">
        <f t="shared" si="12"/>
        <v>91</v>
      </c>
      <c r="X25" s="51">
        <f t="shared" si="12"/>
        <v>72</v>
      </c>
      <c r="Y25" s="51">
        <f t="shared" si="12"/>
        <v>72</v>
      </c>
      <c r="Z25" s="51">
        <f t="shared" si="12"/>
        <v>78</v>
      </c>
      <c r="AA25" s="51">
        <f t="shared" si="12"/>
        <v>131</v>
      </c>
      <c r="AB25" s="51">
        <f t="shared" si="12"/>
        <v>143</v>
      </c>
      <c r="AC25" s="51">
        <f t="shared" si="12"/>
        <v>163</v>
      </c>
      <c r="AD25" s="51">
        <f t="shared" si="12"/>
        <v>196</v>
      </c>
      <c r="AE25" s="10"/>
      <c r="AF25" s="10"/>
      <c r="AG25" s="10"/>
      <c r="AH25" s="10"/>
      <c r="AI25" s="10"/>
      <c r="AJ25" s="10"/>
      <c r="AK25" s="10"/>
      <c r="AL25" s="10"/>
      <c r="AM25" s="10"/>
    </row>
    <row r="26" spans="1:39" ht="15.75" hidden="1" customHeight="1" outlineLevel="1" x14ac:dyDescent="0.2">
      <c r="A26" s="16"/>
      <c r="B26" s="49" t="s">
        <v>42</v>
      </c>
      <c r="C26" s="52">
        <v>0.22</v>
      </c>
      <c r="D26" s="51"/>
      <c r="E26" s="51"/>
      <c r="F26" s="51">
        <f t="shared" ref="F26:G26" si="13">D25*$C$26</f>
        <v>1.32</v>
      </c>
      <c r="G26" s="51">
        <f t="shared" si="13"/>
        <v>2.86</v>
      </c>
      <c r="H26" s="51">
        <f t="shared" ref="H26:AD26" si="14">F25*$C$26+F26*$C$26</f>
        <v>4.6904000000000003</v>
      </c>
      <c r="I26" s="51">
        <f t="shared" si="14"/>
        <v>7.8891999999999998</v>
      </c>
      <c r="J26" s="51">
        <f t="shared" si="14"/>
        <v>8.2918880000000001</v>
      </c>
      <c r="K26" s="51">
        <f t="shared" si="14"/>
        <v>13.175623999999999</v>
      </c>
      <c r="L26" s="51">
        <f t="shared" si="14"/>
        <v>11.944215359999999</v>
      </c>
      <c r="M26" s="51">
        <f t="shared" si="14"/>
        <v>11.478637280000001</v>
      </c>
      <c r="N26" s="51">
        <f t="shared" si="14"/>
        <v>9.8877273791999993</v>
      </c>
      <c r="O26" s="51">
        <f t="shared" si="14"/>
        <v>9.7853002016000001</v>
      </c>
      <c r="P26" s="51">
        <f t="shared" si="14"/>
        <v>10.755300023424001</v>
      </c>
      <c r="Q26" s="51">
        <f t="shared" si="14"/>
        <v>13.592766044352</v>
      </c>
      <c r="R26" s="51">
        <f t="shared" si="14"/>
        <v>16.666166005153279</v>
      </c>
      <c r="S26" s="51">
        <f t="shared" si="14"/>
        <v>20.150408529757442</v>
      </c>
      <c r="T26" s="51">
        <f t="shared" si="14"/>
        <v>26.54655652113372</v>
      </c>
      <c r="U26" s="51">
        <f t="shared" si="14"/>
        <v>25.993089876546634</v>
      </c>
      <c r="V26" s="51">
        <f t="shared" si="14"/>
        <v>31.800242434649419</v>
      </c>
      <c r="W26" s="51">
        <f t="shared" si="14"/>
        <v>34.538479772840262</v>
      </c>
      <c r="X26" s="51">
        <f t="shared" si="14"/>
        <v>29.876053335622871</v>
      </c>
      <c r="Y26" s="51">
        <f t="shared" si="14"/>
        <v>27.618465550024858</v>
      </c>
      <c r="Z26" s="51">
        <f t="shared" si="14"/>
        <v>22.412731733837031</v>
      </c>
      <c r="AA26" s="51">
        <f t="shared" si="14"/>
        <v>21.916062421005471</v>
      </c>
      <c r="AB26" s="51">
        <f t="shared" si="14"/>
        <v>22.090800981444147</v>
      </c>
      <c r="AC26" s="51">
        <f t="shared" si="14"/>
        <v>33.641533732621205</v>
      </c>
      <c r="AD26" s="51">
        <f t="shared" si="14"/>
        <v>36.319976215917713</v>
      </c>
      <c r="AE26" s="10"/>
      <c r="AF26" s="10"/>
      <c r="AG26" s="10"/>
      <c r="AH26" s="10"/>
      <c r="AI26" s="10"/>
      <c r="AJ26" s="10"/>
      <c r="AK26" s="10"/>
      <c r="AL26" s="10"/>
      <c r="AM26" s="10"/>
    </row>
    <row r="27" spans="1:39" ht="15.75" hidden="1" customHeight="1" outlineLevel="1" x14ac:dyDescent="0.2">
      <c r="A27" s="16"/>
      <c r="B27" s="49" t="s">
        <v>43</v>
      </c>
      <c r="C27" s="57"/>
      <c r="D27" s="51">
        <f t="shared" ref="D27:AD27" si="15">D25+D26</f>
        <v>6</v>
      </c>
      <c r="E27" s="51">
        <f t="shared" si="15"/>
        <v>13</v>
      </c>
      <c r="F27" s="51">
        <f t="shared" si="15"/>
        <v>21.32</v>
      </c>
      <c r="G27" s="51">
        <f t="shared" si="15"/>
        <v>35.86</v>
      </c>
      <c r="H27" s="51">
        <f t="shared" si="15"/>
        <v>37.690399999999997</v>
      </c>
      <c r="I27" s="51">
        <f t="shared" si="15"/>
        <v>59.889200000000002</v>
      </c>
      <c r="J27" s="51">
        <f t="shared" si="15"/>
        <v>54.291888</v>
      </c>
      <c r="K27" s="51">
        <f t="shared" si="15"/>
        <v>52.175623999999999</v>
      </c>
      <c r="L27" s="51">
        <f t="shared" si="15"/>
        <v>44.944215360000001</v>
      </c>
      <c r="M27" s="51">
        <f t="shared" si="15"/>
        <v>44.478637280000001</v>
      </c>
      <c r="N27" s="51">
        <f t="shared" si="15"/>
        <v>48.887727379200001</v>
      </c>
      <c r="O27" s="51">
        <f t="shared" si="15"/>
        <v>61.785300201600002</v>
      </c>
      <c r="P27" s="51">
        <f t="shared" si="15"/>
        <v>75.755300023423999</v>
      </c>
      <c r="Q27" s="51">
        <f t="shared" si="15"/>
        <v>91.592766044352004</v>
      </c>
      <c r="R27" s="51">
        <f t="shared" si="15"/>
        <v>120.66616600515329</v>
      </c>
      <c r="S27" s="51">
        <f t="shared" si="15"/>
        <v>118.15040852975744</v>
      </c>
      <c r="T27" s="51">
        <f t="shared" si="15"/>
        <v>144.54655652113371</v>
      </c>
      <c r="U27" s="51">
        <f t="shared" si="15"/>
        <v>156.99308987654663</v>
      </c>
      <c r="V27" s="51">
        <f t="shared" si="15"/>
        <v>135.80024243464942</v>
      </c>
      <c r="W27" s="51">
        <f t="shared" si="15"/>
        <v>125.53847977284026</v>
      </c>
      <c r="X27" s="51">
        <f t="shared" si="15"/>
        <v>101.87605333562287</v>
      </c>
      <c r="Y27" s="51">
        <f t="shared" si="15"/>
        <v>99.618465550024865</v>
      </c>
      <c r="Z27" s="51">
        <f t="shared" si="15"/>
        <v>100.41273173383703</v>
      </c>
      <c r="AA27" s="51">
        <f t="shared" si="15"/>
        <v>152.91606242100548</v>
      </c>
      <c r="AB27" s="51">
        <f t="shared" si="15"/>
        <v>165.09080098144415</v>
      </c>
      <c r="AC27" s="51">
        <f t="shared" si="15"/>
        <v>196.64153373262121</v>
      </c>
      <c r="AD27" s="51">
        <f t="shared" si="15"/>
        <v>232.31997621591771</v>
      </c>
      <c r="AE27" s="10"/>
      <c r="AF27" s="10"/>
      <c r="AG27" s="10"/>
      <c r="AH27" s="10"/>
      <c r="AI27" s="10"/>
      <c r="AJ27" s="10"/>
      <c r="AK27" s="10"/>
      <c r="AL27" s="10"/>
      <c r="AM27" s="10"/>
    </row>
    <row r="28" spans="1:39" ht="15.75" hidden="1" customHeight="1" outlineLevel="1" x14ac:dyDescent="0.2">
      <c r="A28" s="16"/>
      <c r="B28" s="53" t="s">
        <v>44</v>
      </c>
      <c r="C28" s="58">
        <v>2125</v>
      </c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10"/>
      <c r="AF28" s="10"/>
      <c r="AG28" s="10"/>
      <c r="AH28" s="10"/>
      <c r="AI28" s="10"/>
      <c r="AJ28" s="10"/>
      <c r="AK28" s="10"/>
      <c r="AL28" s="10"/>
      <c r="AM28" s="10"/>
    </row>
    <row r="29" spans="1:39" ht="16.5" customHeight="1" collapsed="1" x14ac:dyDescent="0.2">
      <c r="A29" s="59"/>
      <c r="B29" s="43" t="s">
        <v>433</v>
      </c>
      <c r="C29" s="44" t="s">
        <v>31</v>
      </c>
      <c r="D29" s="45">
        <f t="shared" ref="D29:AD29" si="16">$C40*D39</f>
        <v>12750</v>
      </c>
      <c r="E29" s="45">
        <f t="shared" si="16"/>
        <v>27625</v>
      </c>
      <c r="F29" s="45">
        <f t="shared" si="16"/>
        <v>45305</v>
      </c>
      <c r="G29" s="45">
        <f t="shared" si="16"/>
        <v>76202.5</v>
      </c>
      <c r="H29" s="45">
        <f t="shared" si="16"/>
        <v>80092.099999999991</v>
      </c>
      <c r="I29" s="45">
        <f t="shared" si="16"/>
        <v>127264.55</v>
      </c>
      <c r="J29" s="45">
        <f t="shared" si="16"/>
        <v>115370.262</v>
      </c>
      <c r="K29" s="45">
        <f t="shared" si="16"/>
        <v>110873.201</v>
      </c>
      <c r="L29" s="45">
        <f t="shared" si="16"/>
        <v>95506.457640000008</v>
      </c>
      <c r="M29" s="45">
        <f t="shared" si="16"/>
        <v>94517.104220000008</v>
      </c>
      <c r="N29" s="45">
        <f t="shared" si="16"/>
        <v>103886.4206808</v>
      </c>
      <c r="O29" s="45">
        <f t="shared" si="16"/>
        <v>131293.76292840001</v>
      </c>
      <c r="P29" s="45">
        <f t="shared" si="16"/>
        <v>160980.012549776</v>
      </c>
      <c r="Q29" s="45">
        <f t="shared" si="16"/>
        <v>194634.627844248</v>
      </c>
      <c r="R29" s="45">
        <f t="shared" si="16"/>
        <v>256415.60276095074</v>
      </c>
      <c r="S29" s="45">
        <f t="shared" si="16"/>
        <v>251069.61812573456</v>
      </c>
      <c r="T29" s="45">
        <f t="shared" si="16"/>
        <v>307161.43260740914</v>
      </c>
      <c r="U29" s="45">
        <f t="shared" si="16"/>
        <v>333610.3159876616</v>
      </c>
      <c r="V29" s="45">
        <f t="shared" si="16"/>
        <v>288575.51517363003</v>
      </c>
      <c r="W29" s="45">
        <f t="shared" si="16"/>
        <v>266769.26951728557</v>
      </c>
      <c r="X29" s="45">
        <f t="shared" si="16"/>
        <v>216486.6133381986</v>
      </c>
      <c r="Y29" s="45">
        <f t="shared" si="16"/>
        <v>211689.23929380285</v>
      </c>
      <c r="Z29" s="45">
        <f t="shared" si="16"/>
        <v>213377.05493440368</v>
      </c>
      <c r="AA29" s="45">
        <f t="shared" si="16"/>
        <v>324946.63264463661</v>
      </c>
      <c r="AB29" s="45">
        <f t="shared" si="16"/>
        <v>350817.9520855688</v>
      </c>
      <c r="AC29" s="45">
        <f t="shared" si="16"/>
        <v>417863.25918182009</v>
      </c>
      <c r="AD29" s="45">
        <f t="shared" si="16"/>
        <v>493679.94945882511</v>
      </c>
      <c r="AE29" s="10"/>
      <c r="AF29" s="10"/>
      <c r="AG29" s="10"/>
      <c r="AH29" s="10"/>
      <c r="AI29" s="10"/>
      <c r="AJ29" s="10"/>
      <c r="AK29" s="10"/>
      <c r="AL29" s="10"/>
      <c r="AM29" s="10"/>
    </row>
    <row r="30" spans="1:39" ht="16.5" hidden="1" customHeight="1" outlineLevel="1" x14ac:dyDescent="0.2">
      <c r="A30" s="16"/>
      <c r="B30" s="46" t="s">
        <v>33</v>
      </c>
      <c r="C30" s="7" t="s">
        <v>34</v>
      </c>
      <c r="D30" s="47">
        <v>0.1</v>
      </c>
      <c r="E30" s="47">
        <v>0.2</v>
      </c>
      <c r="F30" s="47">
        <v>0.3</v>
      </c>
      <c r="G30" s="47">
        <v>0.5</v>
      </c>
      <c r="H30" s="47">
        <v>0.5</v>
      </c>
      <c r="I30" s="47">
        <v>0.8</v>
      </c>
      <c r="J30" s="47">
        <v>0.7</v>
      </c>
      <c r="K30" s="47">
        <v>0.6</v>
      </c>
      <c r="L30" s="47">
        <v>0.5</v>
      </c>
      <c r="M30" s="47">
        <v>0.5</v>
      </c>
      <c r="N30" s="47">
        <v>0.6</v>
      </c>
      <c r="O30" s="47">
        <v>0.8</v>
      </c>
      <c r="P30" s="47">
        <v>1</v>
      </c>
      <c r="Q30" s="47">
        <v>1.2</v>
      </c>
      <c r="R30" s="47">
        <v>1.6</v>
      </c>
      <c r="S30" s="47">
        <v>1.5</v>
      </c>
      <c r="T30" s="47">
        <v>1.8</v>
      </c>
      <c r="U30" s="47">
        <v>2</v>
      </c>
      <c r="V30" s="47">
        <v>1.6</v>
      </c>
      <c r="W30" s="47">
        <v>1.4</v>
      </c>
      <c r="X30" s="47">
        <v>1.1000000000000001</v>
      </c>
      <c r="Y30" s="47">
        <v>1.1000000000000001</v>
      </c>
      <c r="Z30" s="47">
        <v>1.2</v>
      </c>
      <c r="AA30" s="47">
        <v>2</v>
      </c>
      <c r="AB30" s="47">
        <v>2.2000000000000002</v>
      </c>
      <c r="AC30" s="47">
        <v>2.5</v>
      </c>
      <c r="AD30" s="47">
        <v>3</v>
      </c>
      <c r="AE30" s="10"/>
      <c r="AF30" s="10"/>
      <c r="AG30" s="10"/>
      <c r="AH30" s="10"/>
      <c r="AI30" s="10"/>
      <c r="AJ30" s="10"/>
      <c r="AK30" s="10"/>
      <c r="AL30" s="10"/>
      <c r="AM30" s="10"/>
    </row>
    <row r="31" spans="1:39" ht="15.75" hidden="1" customHeight="1" outlineLevel="1" x14ac:dyDescent="0.2">
      <c r="A31" s="48"/>
      <c r="B31" s="49" t="s">
        <v>35</v>
      </c>
      <c r="C31" s="50">
        <v>10000</v>
      </c>
      <c r="D31" s="51">
        <f t="shared" ref="D31:AD31" si="17">ROUND(D30*$C31,0)</f>
        <v>1000</v>
      </c>
      <c r="E31" s="51">
        <f t="shared" si="17"/>
        <v>2000</v>
      </c>
      <c r="F31" s="51">
        <f t="shared" si="17"/>
        <v>3000</v>
      </c>
      <c r="G31" s="51">
        <f t="shared" si="17"/>
        <v>5000</v>
      </c>
      <c r="H31" s="51">
        <f t="shared" si="17"/>
        <v>5000</v>
      </c>
      <c r="I31" s="51">
        <f t="shared" si="17"/>
        <v>8000</v>
      </c>
      <c r="J31" s="51">
        <f t="shared" si="17"/>
        <v>7000</v>
      </c>
      <c r="K31" s="51">
        <f t="shared" si="17"/>
        <v>6000</v>
      </c>
      <c r="L31" s="51">
        <f t="shared" si="17"/>
        <v>5000</v>
      </c>
      <c r="M31" s="51">
        <f t="shared" si="17"/>
        <v>5000</v>
      </c>
      <c r="N31" s="51">
        <f t="shared" si="17"/>
        <v>6000</v>
      </c>
      <c r="O31" s="51">
        <f t="shared" si="17"/>
        <v>8000</v>
      </c>
      <c r="P31" s="51">
        <f t="shared" si="17"/>
        <v>10000</v>
      </c>
      <c r="Q31" s="51">
        <f t="shared" si="17"/>
        <v>12000</v>
      </c>
      <c r="R31" s="51">
        <f t="shared" si="17"/>
        <v>16000</v>
      </c>
      <c r="S31" s="51">
        <f t="shared" si="17"/>
        <v>15000</v>
      </c>
      <c r="T31" s="51">
        <f t="shared" si="17"/>
        <v>18000</v>
      </c>
      <c r="U31" s="51">
        <f t="shared" si="17"/>
        <v>20000</v>
      </c>
      <c r="V31" s="51">
        <f t="shared" si="17"/>
        <v>16000</v>
      </c>
      <c r="W31" s="51">
        <f t="shared" si="17"/>
        <v>14000</v>
      </c>
      <c r="X31" s="51">
        <f t="shared" si="17"/>
        <v>11000</v>
      </c>
      <c r="Y31" s="51">
        <f t="shared" si="17"/>
        <v>11000</v>
      </c>
      <c r="Z31" s="51">
        <f t="shared" si="17"/>
        <v>12000</v>
      </c>
      <c r="AA31" s="51">
        <f t="shared" si="17"/>
        <v>20000</v>
      </c>
      <c r="AB31" s="51">
        <f t="shared" si="17"/>
        <v>22000</v>
      </c>
      <c r="AC31" s="51">
        <f t="shared" si="17"/>
        <v>25000</v>
      </c>
      <c r="AD31" s="51">
        <f t="shared" si="17"/>
        <v>30000</v>
      </c>
      <c r="AE31" s="10"/>
      <c r="AF31" s="10"/>
      <c r="AG31" s="10"/>
      <c r="AH31" s="10"/>
      <c r="AI31" s="10"/>
      <c r="AJ31" s="10"/>
      <c r="AK31" s="10"/>
      <c r="AL31" s="10"/>
      <c r="AM31" s="10"/>
    </row>
    <row r="32" spans="1:39" ht="15.75" hidden="1" customHeight="1" outlineLevel="1" x14ac:dyDescent="0.2">
      <c r="A32" s="48"/>
      <c r="B32" s="49" t="s">
        <v>36</v>
      </c>
      <c r="C32" s="52">
        <v>0.12</v>
      </c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10"/>
      <c r="AF32" s="10"/>
      <c r="AG32" s="10"/>
      <c r="AH32" s="10"/>
      <c r="AI32" s="10"/>
      <c r="AJ32" s="10"/>
      <c r="AK32" s="10"/>
      <c r="AL32" s="10"/>
      <c r="AM32" s="10"/>
    </row>
    <row r="33" spans="1:39" ht="15.75" hidden="1" customHeight="1" outlineLevel="1" x14ac:dyDescent="0.2">
      <c r="A33" s="48"/>
      <c r="B33" s="53" t="s">
        <v>37</v>
      </c>
      <c r="C33" s="54"/>
      <c r="D33" s="51">
        <f t="shared" ref="D33:AD33" si="18">ROUND(D31*$C32,0)</f>
        <v>120</v>
      </c>
      <c r="E33" s="51">
        <f t="shared" si="18"/>
        <v>240</v>
      </c>
      <c r="F33" s="51">
        <f t="shared" si="18"/>
        <v>360</v>
      </c>
      <c r="G33" s="51">
        <f t="shared" si="18"/>
        <v>600</v>
      </c>
      <c r="H33" s="51">
        <f t="shared" si="18"/>
        <v>600</v>
      </c>
      <c r="I33" s="51">
        <f t="shared" si="18"/>
        <v>960</v>
      </c>
      <c r="J33" s="51">
        <f t="shared" si="18"/>
        <v>840</v>
      </c>
      <c r="K33" s="51">
        <f t="shared" si="18"/>
        <v>720</v>
      </c>
      <c r="L33" s="51">
        <f t="shared" si="18"/>
        <v>600</v>
      </c>
      <c r="M33" s="51">
        <f t="shared" si="18"/>
        <v>600</v>
      </c>
      <c r="N33" s="51">
        <f t="shared" si="18"/>
        <v>720</v>
      </c>
      <c r="O33" s="51">
        <f t="shared" si="18"/>
        <v>960</v>
      </c>
      <c r="P33" s="51">
        <f t="shared" si="18"/>
        <v>1200</v>
      </c>
      <c r="Q33" s="51">
        <f t="shared" si="18"/>
        <v>1440</v>
      </c>
      <c r="R33" s="51">
        <f t="shared" si="18"/>
        <v>1920</v>
      </c>
      <c r="S33" s="51">
        <f t="shared" si="18"/>
        <v>1800</v>
      </c>
      <c r="T33" s="51">
        <f t="shared" si="18"/>
        <v>2160</v>
      </c>
      <c r="U33" s="51">
        <f t="shared" si="18"/>
        <v>2400</v>
      </c>
      <c r="V33" s="51">
        <f t="shared" si="18"/>
        <v>1920</v>
      </c>
      <c r="W33" s="51">
        <f t="shared" si="18"/>
        <v>1680</v>
      </c>
      <c r="X33" s="51">
        <f t="shared" si="18"/>
        <v>1320</v>
      </c>
      <c r="Y33" s="51">
        <f t="shared" si="18"/>
        <v>1320</v>
      </c>
      <c r="Z33" s="51">
        <f t="shared" si="18"/>
        <v>1440</v>
      </c>
      <c r="AA33" s="51">
        <f t="shared" si="18"/>
        <v>2400</v>
      </c>
      <c r="AB33" s="51">
        <f t="shared" si="18"/>
        <v>2640</v>
      </c>
      <c r="AC33" s="51">
        <f t="shared" si="18"/>
        <v>3000</v>
      </c>
      <c r="AD33" s="51">
        <f t="shared" si="18"/>
        <v>3600</v>
      </c>
      <c r="AE33" s="10"/>
      <c r="AF33" s="10"/>
      <c r="AG33" s="10"/>
      <c r="AH33" s="10"/>
      <c r="AI33" s="10"/>
      <c r="AJ33" s="10"/>
      <c r="AK33" s="10"/>
      <c r="AL33" s="10"/>
      <c r="AM33" s="10"/>
    </row>
    <row r="34" spans="1:39" ht="15.75" hidden="1" customHeight="1" outlineLevel="1" x14ac:dyDescent="0.2">
      <c r="A34" s="16"/>
      <c r="B34" s="49" t="s">
        <v>38</v>
      </c>
      <c r="C34" s="55">
        <v>0.16</v>
      </c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10"/>
      <c r="AF34" s="10"/>
      <c r="AG34" s="10"/>
      <c r="AH34" s="10"/>
      <c r="AI34" s="10"/>
      <c r="AJ34" s="10"/>
      <c r="AK34" s="10"/>
      <c r="AL34" s="10"/>
      <c r="AM34" s="10"/>
    </row>
    <row r="35" spans="1:39" ht="15.75" hidden="1" customHeight="1" outlineLevel="1" x14ac:dyDescent="0.2">
      <c r="A35" s="48"/>
      <c r="B35" s="53" t="s">
        <v>39</v>
      </c>
      <c r="C35" s="56"/>
      <c r="D35" s="51">
        <f t="shared" ref="D35:AD35" si="19">ROUND(D33*$C34,0)</f>
        <v>19</v>
      </c>
      <c r="E35" s="51">
        <f t="shared" si="19"/>
        <v>38</v>
      </c>
      <c r="F35" s="51">
        <f t="shared" si="19"/>
        <v>58</v>
      </c>
      <c r="G35" s="51">
        <f t="shared" si="19"/>
        <v>96</v>
      </c>
      <c r="H35" s="51">
        <f t="shared" si="19"/>
        <v>96</v>
      </c>
      <c r="I35" s="51">
        <f t="shared" si="19"/>
        <v>154</v>
      </c>
      <c r="J35" s="51">
        <f t="shared" si="19"/>
        <v>134</v>
      </c>
      <c r="K35" s="51">
        <f t="shared" si="19"/>
        <v>115</v>
      </c>
      <c r="L35" s="51">
        <f t="shared" si="19"/>
        <v>96</v>
      </c>
      <c r="M35" s="51">
        <f t="shared" si="19"/>
        <v>96</v>
      </c>
      <c r="N35" s="51">
        <f t="shared" si="19"/>
        <v>115</v>
      </c>
      <c r="O35" s="51">
        <f t="shared" si="19"/>
        <v>154</v>
      </c>
      <c r="P35" s="51">
        <f t="shared" si="19"/>
        <v>192</v>
      </c>
      <c r="Q35" s="51">
        <f t="shared" si="19"/>
        <v>230</v>
      </c>
      <c r="R35" s="51">
        <f t="shared" si="19"/>
        <v>307</v>
      </c>
      <c r="S35" s="51">
        <f t="shared" si="19"/>
        <v>288</v>
      </c>
      <c r="T35" s="51">
        <f t="shared" si="19"/>
        <v>346</v>
      </c>
      <c r="U35" s="51">
        <f t="shared" si="19"/>
        <v>384</v>
      </c>
      <c r="V35" s="51">
        <f t="shared" si="19"/>
        <v>307</v>
      </c>
      <c r="W35" s="51">
        <f t="shared" si="19"/>
        <v>269</v>
      </c>
      <c r="X35" s="51">
        <f t="shared" si="19"/>
        <v>211</v>
      </c>
      <c r="Y35" s="51">
        <f t="shared" si="19"/>
        <v>211</v>
      </c>
      <c r="Z35" s="51">
        <f t="shared" si="19"/>
        <v>230</v>
      </c>
      <c r="AA35" s="51">
        <f t="shared" si="19"/>
        <v>384</v>
      </c>
      <c r="AB35" s="51">
        <f t="shared" si="19"/>
        <v>422</v>
      </c>
      <c r="AC35" s="51">
        <f t="shared" si="19"/>
        <v>480</v>
      </c>
      <c r="AD35" s="51">
        <f t="shared" si="19"/>
        <v>576</v>
      </c>
      <c r="AE35" s="10"/>
      <c r="AF35" s="10"/>
      <c r="AG35" s="10"/>
      <c r="AH35" s="10"/>
      <c r="AI35" s="10"/>
      <c r="AJ35" s="10"/>
      <c r="AK35" s="10"/>
      <c r="AL35" s="10"/>
      <c r="AM35" s="10"/>
    </row>
    <row r="36" spans="1:39" ht="15.75" hidden="1" customHeight="1" outlineLevel="1" x14ac:dyDescent="0.2">
      <c r="A36" s="16"/>
      <c r="B36" s="49" t="s">
        <v>40</v>
      </c>
      <c r="C36" s="55">
        <v>0.34</v>
      </c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10"/>
      <c r="AF36" s="10"/>
      <c r="AG36" s="10"/>
      <c r="AH36" s="10"/>
      <c r="AI36" s="10"/>
      <c r="AJ36" s="10"/>
      <c r="AK36" s="10"/>
      <c r="AL36" s="10"/>
      <c r="AM36" s="10"/>
    </row>
    <row r="37" spans="1:39" ht="15.75" hidden="1" customHeight="1" outlineLevel="1" x14ac:dyDescent="0.2">
      <c r="A37" s="16"/>
      <c r="B37" s="53" t="s">
        <v>41</v>
      </c>
      <c r="C37" s="56"/>
      <c r="D37" s="51">
        <f t="shared" ref="D37:AD37" si="20">ROUND(D35*$C36,0)</f>
        <v>6</v>
      </c>
      <c r="E37" s="51">
        <f t="shared" si="20"/>
        <v>13</v>
      </c>
      <c r="F37" s="51">
        <f t="shared" si="20"/>
        <v>20</v>
      </c>
      <c r="G37" s="51">
        <f t="shared" si="20"/>
        <v>33</v>
      </c>
      <c r="H37" s="51">
        <f t="shared" si="20"/>
        <v>33</v>
      </c>
      <c r="I37" s="51">
        <f t="shared" si="20"/>
        <v>52</v>
      </c>
      <c r="J37" s="51">
        <f t="shared" si="20"/>
        <v>46</v>
      </c>
      <c r="K37" s="51">
        <f t="shared" si="20"/>
        <v>39</v>
      </c>
      <c r="L37" s="51">
        <f t="shared" si="20"/>
        <v>33</v>
      </c>
      <c r="M37" s="51">
        <f t="shared" si="20"/>
        <v>33</v>
      </c>
      <c r="N37" s="51">
        <f t="shared" si="20"/>
        <v>39</v>
      </c>
      <c r="O37" s="51">
        <f t="shared" si="20"/>
        <v>52</v>
      </c>
      <c r="P37" s="51">
        <f t="shared" si="20"/>
        <v>65</v>
      </c>
      <c r="Q37" s="51">
        <f t="shared" si="20"/>
        <v>78</v>
      </c>
      <c r="R37" s="51">
        <f t="shared" si="20"/>
        <v>104</v>
      </c>
      <c r="S37" s="51">
        <f t="shared" si="20"/>
        <v>98</v>
      </c>
      <c r="T37" s="51">
        <f t="shared" si="20"/>
        <v>118</v>
      </c>
      <c r="U37" s="51">
        <f t="shared" si="20"/>
        <v>131</v>
      </c>
      <c r="V37" s="51">
        <f t="shared" si="20"/>
        <v>104</v>
      </c>
      <c r="W37" s="51">
        <f t="shared" si="20"/>
        <v>91</v>
      </c>
      <c r="X37" s="51">
        <f t="shared" si="20"/>
        <v>72</v>
      </c>
      <c r="Y37" s="51">
        <f t="shared" si="20"/>
        <v>72</v>
      </c>
      <c r="Z37" s="51">
        <f t="shared" si="20"/>
        <v>78</v>
      </c>
      <c r="AA37" s="51">
        <f t="shared" si="20"/>
        <v>131</v>
      </c>
      <c r="AB37" s="51">
        <f t="shared" si="20"/>
        <v>143</v>
      </c>
      <c r="AC37" s="51">
        <f t="shared" si="20"/>
        <v>163</v>
      </c>
      <c r="AD37" s="51">
        <f t="shared" si="20"/>
        <v>196</v>
      </c>
      <c r="AE37" s="10"/>
      <c r="AF37" s="10"/>
      <c r="AG37" s="10"/>
      <c r="AH37" s="10"/>
      <c r="AI37" s="10"/>
      <c r="AJ37" s="10"/>
      <c r="AK37" s="10"/>
      <c r="AL37" s="10"/>
      <c r="AM37" s="10"/>
    </row>
    <row r="38" spans="1:39" ht="15.75" hidden="1" customHeight="1" outlineLevel="1" x14ac:dyDescent="0.2">
      <c r="A38" s="16"/>
      <c r="B38" s="49" t="s">
        <v>42</v>
      </c>
      <c r="C38" s="52">
        <v>0.22</v>
      </c>
      <c r="D38" s="51"/>
      <c r="E38" s="51"/>
      <c r="F38" s="51">
        <f t="shared" ref="F38:G38" si="21">D37*$C38</f>
        <v>1.32</v>
      </c>
      <c r="G38" s="51">
        <f t="shared" si="21"/>
        <v>2.86</v>
      </c>
      <c r="H38" s="51">
        <f t="shared" ref="H38:AD38" si="22">F37*$C38+F38*$C38</f>
        <v>4.6904000000000003</v>
      </c>
      <c r="I38" s="51">
        <f t="shared" si="22"/>
        <v>7.8891999999999998</v>
      </c>
      <c r="J38" s="51">
        <f t="shared" si="22"/>
        <v>8.2918880000000001</v>
      </c>
      <c r="K38" s="51">
        <f t="shared" si="22"/>
        <v>13.175623999999999</v>
      </c>
      <c r="L38" s="51">
        <f t="shared" si="22"/>
        <v>11.944215359999999</v>
      </c>
      <c r="M38" s="51">
        <f t="shared" si="22"/>
        <v>11.478637280000001</v>
      </c>
      <c r="N38" s="51">
        <f t="shared" si="22"/>
        <v>9.8877273791999993</v>
      </c>
      <c r="O38" s="51">
        <f t="shared" si="22"/>
        <v>9.7853002016000001</v>
      </c>
      <c r="P38" s="51">
        <f t="shared" si="22"/>
        <v>10.755300023424001</v>
      </c>
      <c r="Q38" s="51">
        <f t="shared" si="22"/>
        <v>13.592766044352</v>
      </c>
      <c r="R38" s="51">
        <f t="shared" si="22"/>
        <v>16.666166005153279</v>
      </c>
      <c r="S38" s="51">
        <f t="shared" si="22"/>
        <v>20.150408529757442</v>
      </c>
      <c r="T38" s="51">
        <f t="shared" si="22"/>
        <v>26.54655652113372</v>
      </c>
      <c r="U38" s="51">
        <f t="shared" si="22"/>
        <v>25.993089876546634</v>
      </c>
      <c r="V38" s="51">
        <f t="shared" si="22"/>
        <v>31.800242434649419</v>
      </c>
      <c r="W38" s="51">
        <f t="shared" si="22"/>
        <v>34.538479772840262</v>
      </c>
      <c r="X38" s="51">
        <f t="shared" si="22"/>
        <v>29.876053335622871</v>
      </c>
      <c r="Y38" s="51">
        <f t="shared" si="22"/>
        <v>27.618465550024858</v>
      </c>
      <c r="Z38" s="51">
        <f t="shared" si="22"/>
        <v>22.412731733837031</v>
      </c>
      <c r="AA38" s="51">
        <f t="shared" si="22"/>
        <v>21.916062421005471</v>
      </c>
      <c r="AB38" s="51">
        <f t="shared" si="22"/>
        <v>22.090800981444147</v>
      </c>
      <c r="AC38" s="51">
        <f t="shared" si="22"/>
        <v>33.641533732621205</v>
      </c>
      <c r="AD38" s="51">
        <f t="shared" si="22"/>
        <v>36.319976215917713</v>
      </c>
      <c r="AE38" s="10"/>
      <c r="AF38" s="10"/>
      <c r="AG38" s="10"/>
      <c r="AH38" s="10"/>
      <c r="AI38" s="10"/>
      <c r="AJ38" s="10"/>
      <c r="AK38" s="10"/>
      <c r="AL38" s="10"/>
      <c r="AM38" s="10"/>
    </row>
    <row r="39" spans="1:39" ht="15.75" hidden="1" customHeight="1" outlineLevel="1" x14ac:dyDescent="0.2">
      <c r="A39" s="16"/>
      <c r="B39" s="49" t="s">
        <v>43</v>
      </c>
      <c r="C39" s="57"/>
      <c r="D39" s="51">
        <f t="shared" ref="D39:AD39" si="23">D37+D38</f>
        <v>6</v>
      </c>
      <c r="E39" s="51">
        <f t="shared" si="23"/>
        <v>13</v>
      </c>
      <c r="F39" s="51">
        <f t="shared" si="23"/>
        <v>21.32</v>
      </c>
      <c r="G39" s="51">
        <f t="shared" si="23"/>
        <v>35.86</v>
      </c>
      <c r="H39" s="51">
        <f t="shared" si="23"/>
        <v>37.690399999999997</v>
      </c>
      <c r="I39" s="51">
        <f t="shared" si="23"/>
        <v>59.889200000000002</v>
      </c>
      <c r="J39" s="51">
        <f t="shared" si="23"/>
        <v>54.291888</v>
      </c>
      <c r="K39" s="51">
        <f t="shared" si="23"/>
        <v>52.175623999999999</v>
      </c>
      <c r="L39" s="51">
        <f t="shared" si="23"/>
        <v>44.944215360000001</v>
      </c>
      <c r="M39" s="51">
        <f t="shared" si="23"/>
        <v>44.478637280000001</v>
      </c>
      <c r="N39" s="51">
        <f t="shared" si="23"/>
        <v>48.887727379200001</v>
      </c>
      <c r="O39" s="51">
        <f t="shared" si="23"/>
        <v>61.785300201600002</v>
      </c>
      <c r="P39" s="51">
        <f t="shared" si="23"/>
        <v>75.755300023423999</v>
      </c>
      <c r="Q39" s="51">
        <f t="shared" si="23"/>
        <v>91.592766044352004</v>
      </c>
      <c r="R39" s="51">
        <f t="shared" si="23"/>
        <v>120.66616600515329</v>
      </c>
      <c r="S39" s="51">
        <f t="shared" si="23"/>
        <v>118.15040852975744</v>
      </c>
      <c r="T39" s="51">
        <f t="shared" si="23"/>
        <v>144.54655652113371</v>
      </c>
      <c r="U39" s="51">
        <f t="shared" si="23"/>
        <v>156.99308987654663</v>
      </c>
      <c r="V39" s="51">
        <f t="shared" si="23"/>
        <v>135.80024243464942</v>
      </c>
      <c r="W39" s="51">
        <f t="shared" si="23"/>
        <v>125.53847977284026</v>
      </c>
      <c r="X39" s="51">
        <f t="shared" si="23"/>
        <v>101.87605333562287</v>
      </c>
      <c r="Y39" s="51">
        <f t="shared" si="23"/>
        <v>99.618465550024865</v>
      </c>
      <c r="Z39" s="51">
        <f t="shared" si="23"/>
        <v>100.41273173383703</v>
      </c>
      <c r="AA39" s="51">
        <f t="shared" si="23"/>
        <v>152.91606242100548</v>
      </c>
      <c r="AB39" s="51">
        <f t="shared" si="23"/>
        <v>165.09080098144415</v>
      </c>
      <c r="AC39" s="51">
        <f t="shared" si="23"/>
        <v>196.64153373262121</v>
      </c>
      <c r="AD39" s="51">
        <f t="shared" si="23"/>
        <v>232.31997621591771</v>
      </c>
      <c r="AE39" s="10"/>
      <c r="AF39" s="10"/>
      <c r="AG39" s="10"/>
      <c r="AH39" s="10"/>
      <c r="AI39" s="10"/>
      <c r="AJ39" s="10"/>
      <c r="AK39" s="10"/>
      <c r="AL39" s="10"/>
      <c r="AM39" s="10"/>
    </row>
    <row r="40" spans="1:39" ht="15.75" hidden="1" customHeight="1" outlineLevel="1" x14ac:dyDescent="0.2">
      <c r="A40" s="16"/>
      <c r="B40" s="53" t="s">
        <v>44</v>
      </c>
      <c r="C40" s="58">
        <v>2125</v>
      </c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10"/>
      <c r="AF40" s="10"/>
      <c r="AG40" s="10"/>
      <c r="AH40" s="10"/>
      <c r="AI40" s="10"/>
      <c r="AJ40" s="10"/>
      <c r="AK40" s="10"/>
      <c r="AL40" s="10"/>
      <c r="AM40" s="10"/>
    </row>
    <row r="41" spans="1:39" ht="15.75" customHeight="1" collapsed="1" x14ac:dyDescent="0.2">
      <c r="A41" s="59"/>
      <c r="B41" s="43" t="s">
        <v>434</v>
      </c>
      <c r="C41" s="44" t="s">
        <v>31</v>
      </c>
      <c r="D41" s="60">
        <f t="shared" ref="D41:AD41" si="24">$C52*D51</f>
        <v>15810</v>
      </c>
      <c r="E41" s="60">
        <f t="shared" si="24"/>
        <v>34255</v>
      </c>
      <c r="F41" s="60">
        <f t="shared" si="24"/>
        <v>56178.200000000004</v>
      </c>
      <c r="G41" s="60">
        <f t="shared" si="24"/>
        <v>94491.099999999991</v>
      </c>
      <c r="H41" s="60">
        <f t="shared" si="24"/>
        <v>99314.203999999998</v>
      </c>
      <c r="I41" s="60">
        <f t="shared" si="24"/>
        <v>157808.04200000002</v>
      </c>
      <c r="J41" s="60">
        <f t="shared" si="24"/>
        <v>143059.12487999999</v>
      </c>
      <c r="K41" s="60">
        <f t="shared" si="24"/>
        <v>137482.76923999999</v>
      </c>
      <c r="L41" s="60">
        <f t="shared" si="24"/>
        <v>118428.00747360001</v>
      </c>
      <c r="M41" s="60">
        <f t="shared" si="24"/>
        <v>117201.2092328</v>
      </c>
      <c r="N41" s="60">
        <f t="shared" si="24"/>
        <v>128819.16164419201</v>
      </c>
      <c r="O41" s="60">
        <f t="shared" si="24"/>
        <v>162804.26603121602</v>
      </c>
      <c r="P41" s="60">
        <f t="shared" si="24"/>
        <v>199615.21556172223</v>
      </c>
      <c r="Q41" s="60">
        <f t="shared" si="24"/>
        <v>241346.93852686754</v>
      </c>
      <c r="R41" s="60">
        <f t="shared" si="24"/>
        <v>317955.3474235789</v>
      </c>
      <c r="S41" s="60">
        <f t="shared" si="24"/>
        <v>311326.32647591084</v>
      </c>
      <c r="T41" s="60">
        <f t="shared" si="24"/>
        <v>380880.17643318733</v>
      </c>
      <c r="U41" s="60">
        <f t="shared" si="24"/>
        <v>413676.79182470037</v>
      </c>
      <c r="V41" s="60">
        <f t="shared" si="24"/>
        <v>357833.63881530124</v>
      </c>
      <c r="W41" s="60">
        <f t="shared" si="24"/>
        <v>330793.8942014341</v>
      </c>
      <c r="X41" s="60">
        <f t="shared" si="24"/>
        <v>268443.40053936624</v>
      </c>
      <c r="Y41" s="60">
        <f t="shared" si="24"/>
        <v>262494.65672431554</v>
      </c>
      <c r="Z41" s="60">
        <f t="shared" si="24"/>
        <v>264587.54811866058</v>
      </c>
      <c r="AA41" s="60">
        <f t="shared" si="24"/>
        <v>402933.82447934942</v>
      </c>
      <c r="AB41" s="60">
        <f t="shared" si="24"/>
        <v>435014.26058610535</v>
      </c>
      <c r="AC41" s="60">
        <f t="shared" si="24"/>
        <v>518150.44138545688</v>
      </c>
      <c r="AD41" s="60">
        <f t="shared" si="24"/>
        <v>612163.13732894312</v>
      </c>
      <c r="AE41" s="10"/>
      <c r="AF41" s="10"/>
      <c r="AG41" s="10"/>
      <c r="AH41" s="10"/>
      <c r="AI41" s="10"/>
      <c r="AJ41" s="10"/>
      <c r="AK41" s="10"/>
      <c r="AL41" s="10"/>
      <c r="AM41" s="10"/>
    </row>
    <row r="42" spans="1:39" ht="16.5" hidden="1" customHeight="1" outlineLevel="1" x14ac:dyDescent="0.2">
      <c r="A42" s="16"/>
      <c r="B42" s="46" t="s">
        <v>33</v>
      </c>
      <c r="C42" s="7" t="s">
        <v>34</v>
      </c>
      <c r="D42" s="47">
        <v>0.1</v>
      </c>
      <c r="E42" s="47">
        <v>0.2</v>
      </c>
      <c r="F42" s="47">
        <v>0.3</v>
      </c>
      <c r="G42" s="47">
        <v>0.5</v>
      </c>
      <c r="H42" s="47">
        <v>0.5</v>
      </c>
      <c r="I42" s="47">
        <v>0.8</v>
      </c>
      <c r="J42" s="47">
        <v>0.7</v>
      </c>
      <c r="K42" s="47">
        <v>0.6</v>
      </c>
      <c r="L42" s="47">
        <v>0.5</v>
      </c>
      <c r="M42" s="47">
        <v>0.5</v>
      </c>
      <c r="N42" s="47">
        <v>0.6</v>
      </c>
      <c r="O42" s="47">
        <v>0.8</v>
      </c>
      <c r="P42" s="47">
        <v>1</v>
      </c>
      <c r="Q42" s="47">
        <v>1.2</v>
      </c>
      <c r="R42" s="47">
        <v>1.6</v>
      </c>
      <c r="S42" s="47">
        <v>1.5</v>
      </c>
      <c r="T42" s="47">
        <v>1.8</v>
      </c>
      <c r="U42" s="47">
        <v>2</v>
      </c>
      <c r="V42" s="47">
        <v>1.6</v>
      </c>
      <c r="W42" s="47">
        <v>1.4</v>
      </c>
      <c r="X42" s="47">
        <v>1.1000000000000001</v>
      </c>
      <c r="Y42" s="47">
        <v>1.1000000000000001</v>
      </c>
      <c r="Z42" s="47">
        <v>1.2</v>
      </c>
      <c r="AA42" s="47">
        <v>2</v>
      </c>
      <c r="AB42" s="47">
        <v>2.2000000000000002</v>
      </c>
      <c r="AC42" s="47">
        <v>2.5</v>
      </c>
      <c r="AD42" s="47">
        <v>3</v>
      </c>
      <c r="AE42" s="10"/>
      <c r="AF42" s="10"/>
      <c r="AG42" s="10"/>
      <c r="AH42" s="10"/>
      <c r="AI42" s="10"/>
      <c r="AJ42" s="10"/>
      <c r="AK42" s="10"/>
      <c r="AL42" s="10"/>
      <c r="AM42" s="10"/>
    </row>
    <row r="43" spans="1:39" ht="15.75" hidden="1" customHeight="1" outlineLevel="1" x14ac:dyDescent="0.2">
      <c r="A43" s="48"/>
      <c r="B43" s="49" t="s">
        <v>35</v>
      </c>
      <c r="C43" s="50">
        <v>10000</v>
      </c>
      <c r="D43" s="51">
        <f t="shared" ref="D43:AD43" si="25">ROUND(D42*$C43,0)</f>
        <v>1000</v>
      </c>
      <c r="E43" s="51">
        <f t="shared" si="25"/>
        <v>2000</v>
      </c>
      <c r="F43" s="51">
        <f t="shared" si="25"/>
        <v>3000</v>
      </c>
      <c r="G43" s="51">
        <f t="shared" si="25"/>
        <v>5000</v>
      </c>
      <c r="H43" s="51">
        <f t="shared" si="25"/>
        <v>5000</v>
      </c>
      <c r="I43" s="51">
        <f t="shared" si="25"/>
        <v>8000</v>
      </c>
      <c r="J43" s="51">
        <f t="shared" si="25"/>
        <v>7000</v>
      </c>
      <c r="K43" s="51">
        <f t="shared" si="25"/>
        <v>6000</v>
      </c>
      <c r="L43" s="51">
        <f t="shared" si="25"/>
        <v>5000</v>
      </c>
      <c r="M43" s="51">
        <f t="shared" si="25"/>
        <v>5000</v>
      </c>
      <c r="N43" s="51">
        <f t="shared" si="25"/>
        <v>6000</v>
      </c>
      <c r="O43" s="51">
        <f t="shared" si="25"/>
        <v>8000</v>
      </c>
      <c r="P43" s="51">
        <f t="shared" si="25"/>
        <v>10000</v>
      </c>
      <c r="Q43" s="51">
        <f t="shared" si="25"/>
        <v>12000</v>
      </c>
      <c r="R43" s="51">
        <f t="shared" si="25"/>
        <v>16000</v>
      </c>
      <c r="S43" s="51">
        <f t="shared" si="25"/>
        <v>15000</v>
      </c>
      <c r="T43" s="51">
        <f t="shared" si="25"/>
        <v>18000</v>
      </c>
      <c r="U43" s="51">
        <f t="shared" si="25"/>
        <v>20000</v>
      </c>
      <c r="V43" s="51">
        <f t="shared" si="25"/>
        <v>16000</v>
      </c>
      <c r="W43" s="51">
        <f t="shared" si="25"/>
        <v>14000</v>
      </c>
      <c r="X43" s="51">
        <f t="shared" si="25"/>
        <v>11000</v>
      </c>
      <c r="Y43" s="51">
        <f t="shared" si="25"/>
        <v>11000</v>
      </c>
      <c r="Z43" s="51">
        <f t="shared" si="25"/>
        <v>12000</v>
      </c>
      <c r="AA43" s="51">
        <f t="shared" si="25"/>
        <v>20000</v>
      </c>
      <c r="AB43" s="51">
        <f t="shared" si="25"/>
        <v>22000</v>
      </c>
      <c r="AC43" s="51">
        <f t="shared" si="25"/>
        <v>25000</v>
      </c>
      <c r="AD43" s="51">
        <f t="shared" si="25"/>
        <v>30000</v>
      </c>
      <c r="AE43" s="10"/>
      <c r="AF43" s="10"/>
      <c r="AG43" s="10"/>
      <c r="AH43" s="10"/>
      <c r="AI43" s="10"/>
      <c r="AJ43" s="10"/>
      <c r="AK43" s="10"/>
      <c r="AL43" s="10"/>
      <c r="AM43" s="10"/>
    </row>
    <row r="44" spans="1:39" ht="15.75" hidden="1" customHeight="1" outlineLevel="1" x14ac:dyDescent="0.2">
      <c r="A44" s="48"/>
      <c r="B44" s="49" t="s">
        <v>36</v>
      </c>
      <c r="C44" s="52">
        <v>0.12</v>
      </c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10"/>
      <c r="AF44" s="10"/>
      <c r="AG44" s="10"/>
      <c r="AH44" s="10"/>
      <c r="AI44" s="10"/>
      <c r="AJ44" s="10"/>
      <c r="AK44" s="10"/>
      <c r="AL44" s="10"/>
      <c r="AM44" s="10"/>
    </row>
    <row r="45" spans="1:39" ht="15.75" hidden="1" customHeight="1" outlineLevel="1" x14ac:dyDescent="0.2">
      <c r="A45" s="48"/>
      <c r="B45" s="53" t="s">
        <v>37</v>
      </c>
      <c r="C45" s="54"/>
      <c r="D45" s="51">
        <f t="shared" ref="D45:AD45" si="26">ROUND(D43*$C44,0)</f>
        <v>120</v>
      </c>
      <c r="E45" s="51">
        <f t="shared" si="26"/>
        <v>240</v>
      </c>
      <c r="F45" s="51">
        <f t="shared" si="26"/>
        <v>360</v>
      </c>
      <c r="G45" s="51">
        <f t="shared" si="26"/>
        <v>600</v>
      </c>
      <c r="H45" s="51">
        <f t="shared" si="26"/>
        <v>600</v>
      </c>
      <c r="I45" s="51">
        <f t="shared" si="26"/>
        <v>960</v>
      </c>
      <c r="J45" s="51">
        <f t="shared" si="26"/>
        <v>840</v>
      </c>
      <c r="K45" s="51">
        <f t="shared" si="26"/>
        <v>720</v>
      </c>
      <c r="L45" s="51">
        <f t="shared" si="26"/>
        <v>600</v>
      </c>
      <c r="M45" s="51">
        <f t="shared" si="26"/>
        <v>600</v>
      </c>
      <c r="N45" s="51">
        <f t="shared" si="26"/>
        <v>720</v>
      </c>
      <c r="O45" s="51">
        <f t="shared" si="26"/>
        <v>960</v>
      </c>
      <c r="P45" s="51">
        <f t="shared" si="26"/>
        <v>1200</v>
      </c>
      <c r="Q45" s="51">
        <f t="shared" si="26"/>
        <v>1440</v>
      </c>
      <c r="R45" s="51">
        <f t="shared" si="26"/>
        <v>1920</v>
      </c>
      <c r="S45" s="51">
        <f t="shared" si="26"/>
        <v>1800</v>
      </c>
      <c r="T45" s="51">
        <f t="shared" si="26"/>
        <v>2160</v>
      </c>
      <c r="U45" s="51">
        <f t="shared" si="26"/>
        <v>2400</v>
      </c>
      <c r="V45" s="51">
        <f t="shared" si="26"/>
        <v>1920</v>
      </c>
      <c r="W45" s="51">
        <f t="shared" si="26"/>
        <v>1680</v>
      </c>
      <c r="X45" s="51">
        <f t="shared" si="26"/>
        <v>1320</v>
      </c>
      <c r="Y45" s="51">
        <f t="shared" si="26"/>
        <v>1320</v>
      </c>
      <c r="Z45" s="51">
        <f t="shared" si="26"/>
        <v>1440</v>
      </c>
      <c r="AA45" s="51">
        <f t="shared" si="26"/>
        <v>2400</v>
      </c>
      <c r="AB45" s="51">
        <f t="shared" si="26"/>
        <v>2640</v>
      </c>
      <c r="AC45" s="51">
        <f t="shared" si="26"/>
        <v>3000</v>
      </c>
      <c r="AD45" s="51">
        <f t="shared" si="26"/>
        <v>3600</v>
      </c>
      <c r="AE45" s="10"/>
      <c r="AF45" s="10"/>
      <c r="AG45" s="10"/>
      <c r="AH45" s="10"/>
      <c r="AI45" s="10"/>
      <c r="AJ45" s="10"/>
      <c r="AK45" s="10"/>
      <c r="AL45" s="10"/>
      <c r="AM45" s="10"/>
    </row>
    <row r="46" spans="1:39" ht="15.75" hidden="1" customHeight="1" outlineLevel="1" x14ac:dyDescent="0.2">
      <c r="A46" s="16"/>
      <c r="B46" s="49" t="s">
        <v>38</v>
      </c>
      <c r="C46" s="55">
        <v>0.16</v>
      </c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  <c r="AA46" s="51"/>
      <c r="AB46" s="51"/>
      <c r="AC46" s="51"/>
      <c r="AD46" s="51"/>
      <c r="AE46" s="10"/>
      <c r="AF46" s="10"/>
      <c r="AG46" s="10"/>
      <c r="AH46" s="10"/>
      <c r="AI46" s="10"/>
      <c r="AJ46" s="10"/>
      <c r="AK46" s="10"/>
      <c r="AL46" s="10"/>
      <c r="AM46" s="10"/>
    </row>
    <row r="47" spans="1:39" ht="15.75" hidden="1" customHeight="1" outlineLevel="1" x14ac:dyDescent="0.2">
      <c r="A47" s="48"/>
      <c r="B47" s="53" t="s">
        <v>39</v>
      </c>
      <c r="C47" s="56"/>
      <c r="D47" s="51">
        <f t="shared" ref="D47:AD47" si="27">ROUND(D45*$C46,0)</f>
        <v>19</v>
      </c>
      <c r="E47" s="51">
        <f t="shared" si="27"/>
        <v>38</v>
      </c>
      <c r="F47" s="51">
        <f t="shared" si="27"/>
        <v>58</v>
      </c>
      <c r="G47" s="51">
        <f t="shared" si="27"/>
        <v>96</v>
      </c>
      <c r="H47" s="51">
        <f t="shared" si="27"/>
        <v>96</v>
      </c>
      <c r="I47" s="51">
        <f t="shared" si="27"/>
        <v>154</v>
      </c>
      <c r="J47" s="51">
        <f t="shared" si="27"/>
        <v>134</v>
      </c>
      <c r="K47" s="51">
        <f t="shared" si="27"/>
        <v>115</v>
      </c>
      <c r="L47" s="51">
        <f t="shared" si="27"/>
        <v>96</v>
      </c>
      <c r="M47" s="51">
        <f t="shared" si="27"/>
        <v>96</v>
      </c>
      <c r="N47" s="51">
        <f t="shared" si="27"/>
        <v>115</v>
      </c>
      <c r="O47" s="51">
        <f t="shared" si="27"/>
        <v>154</v>
      </c>
      <c r="P47" s="51">
        <f t="shared" si="27"/>
        <v>192</v>
      </c>
      <c r="Q47" s="51">
        <f t="shared" si="27"/>
        <v>230</v>
      </c>
      <c r="R47" s="51">
        <f t="shared" si="27"/>
        <v>307</v>
      </c>
      <c r="S47" s="51">
        <f t="shared" si="27"/>
        <v>288</v>
      </c>
      <c r="T47" s="51">
        <f t="shared" si="27"/>
        <v>346</v>
      </c>
      <c r="U47" s="51">
        <f t="shared" si="27"/>
        <v>384</v>
      </c>
      <c r="V47" s="51">
        <f t="shared" si="27"/>
        <v>307</v>
      </c>
      <c r="W47" s="51">
        <f t="shared" si="27"/>
        <v>269</v>
      </c>
      <c r="X47" s="51">
        <f t="shared" si="27"/>
        <v>211</v>
      </c>
      <c r="Y47" s="51">
        <f t="shared" si="27"/>
        <v>211</v>
      </c>
      <c r="Z47" s="51">
        <f t="shared" si="27"/>
        <v>230</v>
      </c>
      <c r="AA47" s="51">
        <f t="shared" si="27"/>
        <v>384</v>
      </c>
      <c r="AB47" s="51">
        <f t="shared" si="27"/>
        <v>422</v>
      </c>
      <c r="AC47" s="51">
        <f t="shared" si="27"/>
        <v>480</v>
      </c>
      <c r="AD47" s="51">
        <f t="shared" si="27"/>
        <v>576</v>
      </c>
      <c r="AE47" s="10"/>
      <c r="AF47" s="10"/>
      <c r="AG47" s="10"/>
      <c r="AH47" s="10"/>
      <c r="AI47" s="10"/>
      <c r="AJ47" s="10"/>
      <c r="AK47" s="10"/>
      <c r="AL47" s="10"/>
      <c r="AM47" s="10"/>
    </row>
    <row r="48" spans="1:39" ht="15.75" hidden="1" customHeight="1" outlineLevel="1" x14ac:dyDescent="0.2">
      <c r="A48" s="16"/>
      <c r="B48" s="49" t="s">
        <v>40</v>
      </c>
      <c r="C48" s="55">
        <v>0.34</v>
      </c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  <c r="AA48" s="51"/>
      <c r="AB48" s="51"/>
      <c r="AC48" s="51"/>
      <c r="AD48" s="51"/>
      <c r="AE48" s="10"/>
      <c r="AF48" s="10"/>
      <c r="AG48" s="10"/>
      <c r="AH48" s="10"/>
      <c r="AI48" s="10"/>
      <c r="AJ48" s="10"/>
      <c r="AK48" s="10"/>
      <c r="AL48" s="10"/>
      <c r="AM48" s="10"/>
    </row>
    <row r="49" spans="1:39" ht="15.75" hidden="1" customHeight="1" outlineLevel="1" x14ac:dyDescent="0.2">
      <c r="A49" s="16"/>
      <c r="B49" s="53" t="s">
        <v>41</v>
      </c>
      <c r="C49" s="56"/>
      <c r="D49" s="51">
        <f t="shared" ref="D49:AD49" si="28">ROUND(D47*$C48,0)</f>
        <v>6</v>
      </c>
      <c r="E49" s="51">
        <f t="shared" si="28"/>
        <v>13</v>
      </c>
      <c r="F49" s="51">
        <f t="shared" si="28"/>
        <v>20</v>
      </c>
      <c r="G49" s="51">
        <f t="shared" si="28"/>
        <v>33</v>
      </c>
      <c r="H49" s="51">
        <f t="shared" si="28"/>
        <v>33</v>
      </c>
      <c r="I49" s="51">
        <f t="shared" si="28"/>
        <v>52</v>
      </c>
      <c r="J49" s="51">
        <f t="shared" si="28"/>
        <v>46</v>
      </c>
      <c r="K49" s="51">
        <f t="shared" si="28"/>
        <v>39</v>
      </c>
      <c r="L49" s="51">
        <f t="shared" si="28"/>
        <v>33</v>
      </c>
      <c r="M49" s="51">
        <f t="shared" si="28"/>
        <v>33</v>
      </c>
      <c r="N49" s="51">
        <f t="shared" si="28"/>
        <v>39</v>
      </c>
      <c r="O49" s="51">
        <f t="shared" si="28"/>
        <v>52</v>
      </c>
      <c r="P49" s="51">
        <f t="shared" si="28"/>
        <v>65</v>
      </c>
      <c r="Q49" s="51">
        <f t="shared" si="28"/>
        <v>78</v>
      </c>
      <c r="R49" s="51">
        <f t="shared" si="28"/>
        <v>104</v>
      </c>
      <c r="S49" s="51">
        <f t="shared" si="28"/>
        <v>98</v>
      </c>
      <c r="T49" s="51">
        <f t="shared" si="28"/>
        <v>118</v>
      </c>
      <c r="U49" s="51">
        <f t="shared" si="28"/>
        <v>131</v>
      </c>
      <c r="V49" s="51">
        <f t="shared" si="28"/>
        <v>104</v>
      </c>
      <c r="W49" s="51">
        <f t="shared" si="28"/>
        <v>91</v>
      </c>
      <c r="X49" s="51">
        <f t="shared" si="28"/>
        <v>72</v>
      </c>
      <c r="Y49" s="51">
        <f t="shared" si="28"/>
        <v>72</v>
      </c>
      <c r="Z49" s="51">
        <f t="shared" si="28"/>
        <v>78</v>
      </c>
      <c r="AA49" s="51">
        <f t="shared" si="28"/>
        <v>131</v>
      </c>
      <c r="AB49" s="51">
        <f t="shared" si="28"/>
        <v>143</v>
      </c>
      <c r="AC49" s="51">
        <f t="shared" si="28"/>
        <v>163</v>
      </c>
      <c r="AD49" s="51">
        <f t="shared" si="28"/>
        <v>196</v>
      </c>
      <c r="AE49" s="10"/>
      <c r="AF49" s="10"/>
      <c r="AG49" s="10"/>
      <c r="AH49" s="10"/>
      <c r="AI49" s="10"/>
      <c r="AJ49" s="10"/>
      <c r="AK49" s="10"/>
      <c r="AL49" s="10"/>
      <c r="AM49" s="10"/>
    </row>
    <row r="50" spans="1:39" ht="15.75" hidden="1" customHeight="1" outlineLevel="1" x14ac:dyDescent="0.2">
      <c r="A50" s="16"/>
      <c r="B50" s="49" t="s">
        <v>42</v>
      </c>
      <c r="C50" s="52">
        <v>0.22</v>
      </c>
      <c r="D50" s="51"/>
      <c r="E50" s="51"/>
      <c r="F50" s="51">
        <f t="shared" ref="F50:G50" si="29">D49*$C50</f>
        <v>1.32</v>
      </c>
      <c r="G50" s="51">
        <f t="shared" si="29"/>
        <v>2.86</v>
      </c>
      <c r="H50" s="51">
        <f t="shared" ref="H50:AD50" si="30">F49*$C50+F50*$C50</f>
        <v>4.6904000000000003</v>
      </c>
      <c r="I50" s="51">
        <f t="shared" si="30"/>
        <v>7.8891999999999998</v>
      </c>
      <c r="J50" s="51">
        <f t="shared" si="30"/>
        <v>8.2918880000000001</v>
      </c>
      <c r="K50" s="51">
        <f t="shared" si="30"/>
        <v>13.175623999999999</v>
      </c>
      <c r="L50" s="51">
        <f t="shared" si="30"/>
        <v>11.944215359999999</v>
      </c>
      <c r="M50" s="51">
        <f t="shared" si="30"/>
        <v>11.478637280000001</v>
      </c>
      <c r="N50" s="51">
        <f t="shared" si="30"/>
        <v>9.8877273791999993</v>
      </c>
      <c r="O50" s="51">
        <f t="shared" si="30"/>
        <v>9.7853002016000001</v>
      </c>
      <c r="P50" s="51">
        <f t="shared" si="30"/>
        <v>10.755300023424001</v>
      </c>
      <c r="Q50" s="51">
        <f t="shared" si="30"/>
        <v>13.592766044352</v>
      </c>
      <c r="R50" s="51">
        <f t="shared" si="30"/>
        <v>16.666166005153279</v>
      </c>
      <c r="S50" s="51">
        <f t="shared" si="30"/>
        <v>20.150408529757442</v>
      </c>
      <c r="T50" s="51">
        <f t="shared" si="30"/>
        <v>26.54655652113372</v>
      </c>
      <c r="U50" s="51">
        <f t="shared" si="30"/>
        <v>25.993089876546634</v>
      </c>
      <c r="V50" s="51">
        <f t="shared" si="30"/>
        <v>31.800242434649419</v>
      </c>
      <c r="W50" s="51">
        <f t="shared" si="30"/>
        <v>34.538479772840262</v>
      </c>
      <c r="X50" s="51">
        <f t="shared" si="30"/>
        <v>29.876053335622871</v>
      </c>
      <c r="Y50" s="51">
        <f t="shared" si="30"/>
        <v>27.618465550024858</v>
      </c>
      <c r="Z50" s="51">
        <f t="shared" si="30"/>
        <v>22.412731733837031</v>
      </c>
      <c r="AA50" s="51">
        <f t="shared" si="30"/>
        <v>21.916062421005471</v>
      </c>
      <c r="AB50" s="51">
        <f t="shared" si="30"/>
        <v>22.090800981444147</v>
      </c>
      <c r="AC50" s="51">
        <f t="shared" si="30"/>
        <v>33.641533732621205</v>
      </c>
      <c r="AD50" s="51">
        <f t="shared" si="30"/>
        <v>36.319976215917713</v>
      </c>
      <c r="AE50" s="10"/>
      <c r="AF50" s="10"/>
      <c r="AG50" s="10"/>
      <c r="AH50" s="10"/>
      <c r="AI50" s="10"/>
      <c r="AJ50" s="10"/>
      <c r="AK50" s="10"/>
      <c r="AL50" s="10"/>
      <c r="AM50" s="10"/>
    </row>
    <row r="51" spans="1:39" ht="15.75" hidden="1" customHeight="1" outlineLevel="1" x14ac:dyDescent="0.2">
      <c r="A51" s="16"/>
      <c r="B51" s="49" t="s">
        <v>43</v>
      </c>
      <c r="C51" s="57"/>
      <c r="D51" s="51">
        <f t="shared" ref="D51:AD51" si="31">D49+D50</f>
        <v>6</v>
      </c>
      <c r="E51" s="51">
        <f t="shared" si="31"/>
        <v>13</v>
      </c>
      <c r="F51" s="51">
        <f t="shared" si="31"/>
        <v>21.32</v>
      </c>
      <c r="G51" s="51">
        <f t="shared" si="31"/>
        <v>35.86</v>
      </c>
      <c r="H51" s="51">
        <f t="shared" si="31"/>
        <v>37.690399999999997</v>
      </c>
      <c r="I51" s="51">
        <f t="shared" si="31"/>
        <v>59.889200000000002</v>
      </c>
      <c r="J51" s="51">
        <f t="shared" si="31"/>
        <v>54.291888</v>
      </c>
      <c r="K51" s="51">
        <f t="shared" si="31"/>
        <v>52.175623999999999</v>
      </c>
      <c r="L51" s="51">
        <f t="shared" si="31"/>
        <v>44.944215360000001</v>
      </c>
      <c r="M51" s="51">
        <f t="shared" si="31"/>
        <v>44.478637280000001</v>
      </c>
      <c r="N51" s="51">
        <f t="shared" si="31"/>
        <v>48.887727379200001</v>
      </c>
      <c r="O51" s="51">
        <f t="shared" si="31"/>
        <v>61.785300201600002</v>
      </c>
      <c r="P51" s="51">
        <f t="shared" si="31"/>
        <v>75.755300023423999</v>
      </c>
      <c r="Q51" s="51">
        <f t="shared" si="31"/>
        <v>91.592766044352004</v>
      </c>
      <c r="R51" s="51">
        <f t="shared" si="31"/>
        <v>120.66616600515329</v>
      </c>
      <c r="S51" s="51">
        <f t="shared" si="31"/>
        <v>118.15040852975744</v>
      </c>
      <c r="T51" s="51">
        <f t="shared" si="31"/>
        <v>144.54655652113371</v>
      </c>
      <c r="U51" s="51">
        <f t="shared" si="31"/>
        <v>156.99308987654663</v>
      </c>
      <c r="V51" s="51">
        <f t="shared" si="31"/>
        <v>135.80024243464942</v>
      </c>
      <c r="W51" s="51">
        <f t="shared" si="31"/>
        <v>125.53847977284026</v>
      </c>
      <c r="X51" s="51">
        <f t="shared" si="31"/>
        <v>101.87605333562287</v>
      </c>
      <c r="Y51" s="51">
        <f t="shared" si="31"/>
        <v>99.618465550024865</v>
      </c>
      <c r="Z51" s="51">
        <f t="shared" si="31"/>
        <v>100.41273173383703</v>
      </c>
      <c r="AA51" s="51">
        <f t="shared" si="31"/>
        <v>152.91606242100548</v>
      </c>
      <c r="AB51" s="51">
        <f t="shared" si="31"/>
        <v>165.09080098144415</v>
      </c>
      <c r="AC51" s="51">
        <f t="shared" si="31"/>
        <v>196.64153373262121</v>
      </c>
      <c r="AD51" s="51">
        <f t="shared" si="31"/>
        <v>232.31997621591771</v>
      </c>
      <c r="AE51" s="10"/>
      <c r="AF51" s="10"/>
      <c r="AG51" s="10"/>
      <c r="AH51" s="10"/>
      <c r="AI51" s="10"/>
      <c r="AJ51" s="10"/>
      <c r="AK51" s="10"/>
      <c r="AL51" s="10"/>
      <c r="AM51" s="10"/>
    </row>
    <row r="52" spans="1:39" ht="15.75" hidden="1" customHeight="1" outlineLevel="1" x14ac:dyDescent="0.2">
      <c r="A52" s="16"/>
      <c r="B52" s="53" t="s">
        <v>44</v>
      </c>
      <c r="C52" s="58">
        <v>2635</v>
      </c>
      <c r="D52" s="51"/>
      <c r="E52" s="51"/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  <c r="AA52" s="51"/>
      <c r="AB52" s="51"/>
      <c r="AC52" s="51"/>
      <c r="AD52" s="51"/>
      <c r="AE52" s="10"/>
      <c r="AF52" s="10"/>
      <c r="AG52" s="10"/>
      <c r="AH52" s="10"/>
      <c r="AI52" s="10"/>
      <c r="AJ52" s="10"/>
      <c r="AK52" s="10"/>
      <c r="AL52" s="10"/>
      <c r="AM52" s="10"/>
    </row>
    <row r="53" spans="1:39" ht="15.75" customHeight="1" collapsed="1" x14ac:dyDescent="0.2">
      <c r="A53" s="59"/>
      <c r="B53" s="43" t="s">
        <v>435</v>
      </c>
      <c r="C53" s="44" t="s">
        <v>31</v>
      </c>
      <c r="D53" s="60">
        <f t="shared" ref="D53:AD53" si="32">D63*$C64</f>
        <v>15810</v>
      </c>
      <c r="E53" s="60">
        <f t="shared" si="32"/>
        <v>34255</v>
      </c>
      <c r="F53" s="60">
        <f t="shared" si="32"/>
        <v>56178.200000000004</v>
      </c>
      <c r="G53" s="60">
        <f t="shared" si="32"/>
        <v>94491.099999999991</v>
      </c>
      <c r="H53" s="60">
        <f t="shared" si="32"/>
        <v>99314.203999999998</v>
      </c>
      <c r="I53" s="60">
        <f t="shared" si="32"/>
        <v>157808.04200000002</v>
      </c>
      <c r="J53" s="60">
        <f t="shared" si="32"/>
        <v>143059.12487999999</v>
      </c>
      <c r="K53" s="60">
        <f t="shared" si="32"/>
        <v>137482.76923999999</v>
      </c>
      <c r="L53" s="60">
        <f t="shared" si="32"/>
        <v>118428.00747360001</v>
      </c>
      <c r="M53" s="60">
        <f t="shared" si="32"/>
        <v>117201.2092328</v>
      </c>
      <c r="N53" s="60">
        <f t="shared" si="32"/>
        <v>128819.16164419201</v>
      </c>
      <c r="O53" s="60">
        <f t="shared" si="32"/>
        <v>162804.26603121602</v>
      </c>
      <c r="P53" s="60">
        <f t="shared" si="32"/>
        <v>199615.21556172223</v>
      </c>
      <c r="Q53" s="60">
        <f t="shared" si="32"/>
        <v>241346.93852686754</v>
      </c>
      <c r="R53" s="60">
        <f t="shared" si="32"/>
        <v>317955.3474235789</v>
      </c>
      <c r="S53" s="60">
        <f t="shared" si="32"/>
        <v>311326.32647591084</v>
      </c>
      <c r="T53" s="60">
        <f t="shared" si="32"/>
        <v>380880.17643318733</v>
      </c>
      <c r="U53" s="60">
        <f t="shared" si="32"/>
        <v>413676.79182470037</v>
      </c>
      <c r="V53" s="60">
        <f t="shared" si="32"/>
        <v>357833.63881530124</v>
      </c>
      <c r="W53" s="60">
        <f t="shared" si="32"/>
        <v>330793.8942014341</v>
      </c>
      <c r="X53" s="60">
        <f t="shared" si="32"/>
        <v>268443.40053936624</v>
      </c>
      <c r="Y53" s="60">
        <f t="shared" si="32"/>
        <v>262494.65672431554</v>
      </c>
      <c r="Z53" s="60">
        <f t="shared" si="32"/>
        <v>264587.54811866058</v>
      </c>
      <c r="AA53" s="60">
        <f t="shared" si="32"/>
        <v>402933.82447934942</v>
      </c>
      <c r="AB53" s="60">
        <f t="shared" si="32"/>
        <v>435014.26058610535</v>
      </c>
      <c r="AC53" s="60">
        <f t="shared" si="32"/>
        <v>518150.44138545688</v>
      </c>
      <c r="AD53" s="60">
        <f t="shared" si="32"/>
        <v>612163.13732894312</v>
      </c>
      <c r="AE53" s="10"/>
      <c r="AF53" s="10"/>
      <c r="AG53" s="10"/>
      <c r="AH53" s="10"/>
      <c r="AI53" s="10"/>
      <c r="AJ53" s="10"/>
      <c r="AK53" s="10"/>
      <c r="AL53" s="10"/>
      <c r="AM53" s="10"/>
    </row>
    <row r="54" spans="1:39" ht="16.5" hidden="1" customHeight="1" outlineLevel="1" x14ac:dyDescent="0.2">
      <c r="A54" s="16"/>
      <c r="B54" s="46" t="s">
        <v>33</v>
      </c>
      <c r="C54" s="7" t="s">
        <v>34</v>
      </c>
      <c r="D54" s="47">
        <v>0.1</v>
      </c>
      <c r="E54" s="47">
        <v>0.2</v>
      </c>
      <c r="F54" s="47">
        <v>0.3</v>
      </c>
      <c r="G54" s="47">
        <v>0.5</v>
      </c>
      <c r="H54" s="47">
        <v>0.5</v>
      </c>
      <c r="I54" s="47">
        <v>0.8</v>
      </c>
      <c r="J54" s="47">
        <v>0.7</v>
      </c>
      <c r="K54" s="47">
        <v>0.6</v>
      </c>
      <c r="L54" s="47">
        <v>0.5</v>
      </c>
      <c r="M54" s="47">
        <v>0.5</v>
      </c>
      <c r="N54" s="47">
        <v>0.6</v>
      </c>
      <c r="O54" s="47">
        <v>0.8</v>
      </c>
      <c r="P54" s="47">
        <v>1</v>
      </c>
      <c r="Q54" s="47">
        <v>1.2</v>
      </c>
      <c r="R54" s="47">
        <v>1.6</v>
      </c>
      <c r="S54" s="47">
        <v>1.5</v>
      </c>
      <c r="T54" s="47">
        <v>1.8</v>
      </c>
      <c r="U54" s="47">
        <v>2</v>
      </c>
      <c r="V54" s="47">
        <v>1.6</v>
      </c>
      <c r="W54" s="47">
        <v>1.4</v>
      </c>
      <c r="X54" s="47">
        <v>1.1000000000000001</v>
      </c>
      <c r="Y54" s="47">
        <v>1.1000000000000001</v>
      </c>
      <c r="Z54" s="47">
        <v>1.2</v>
      </c>
      <c r="AA54" s="47">
        <v>2</v>
      </c>
      <c r="AB54" s="47">
        <v>2.2000000000000002</v>
      </c>
      <c r="AC54" s="47">
        <v>2.5</v>
      </c>
      <c r="AD54" s="47">
        <v>3</v>
      </c>
      <c r="AE54" s="10"/>
      <c r="AF54" s="10"/>
      <c r="AG54" s="10"/>
      <c r="AH54" s="10"/>
      <c r="AI54" s="10"/>
      <c r="AJ54" s="10"/>
      <c r="AK54" s="10"/>
      <c r="AL54" s="10"/>
      <c r="AM54" s="10"/>
    </row>
    <row r="55" spans="1:39" ht="15.75" hidden="1" customHeight="1" outlineLevel="1" x14ac:dyDescent="0.2">
      <c r="A55" s="48"/>
      <c r="B55" s="49" t="s">
        <v>35</v>
      </c>
      <c r="C55" s="50">
        <v>10000</v>
      </c>
      <c r="D55" s="51">
        <f t="shared" ref="D55:AD55" si="33">ROUND(D54*$C55,0)</f>
        <v>1000</v>
      </c>
      <c r="E55" s="51">
        <f t="shared" si="33"/>
        <v>2000</v>
      </c>
      <c r="F55" s="51">
        <f t="shared" si="33"/>
        <v>3000</v>
      </c>
      <c r="G55" s="51">
        <f t="shared" si="33"/>
        <v>5000</v>
      </c>
      <c r="H55" s="51">
        <f t="shared" si="33"/>
        <v>5000</v>
      </c>
      <c r="I55" s="51">
        <f t="shared" si="33"/>
        <v>8000</v>
      </c>
      <c r="J55" s="51">
        <f t="shared" si="33"/>
        <v>7000</v>
      </c>
      <c r="K55" s="51">
        <f t="shared" si="33"/>
        <v>6000</v>
      </c>
      <c r="L55" s="51">
        <f t="shared" si="33"/>
        <v>5000</v>
      </c>
      <c r="M55" s="51">
        <f t="shared" si="33"/>
        <v>5000</v>
      </c>
      <c r="N55" s="51">
        <f t="shared" si="33"/>
        <v>6000</v>
      </c>
      <c r="O55" s="51">
        <f t="shared" si="33"/>
        <v>8000</v>
      </c>
      <c r="P55" s="51">
        <f t="shared" si="33"/>
        <v>10000</v>
      </c>
      <c r="Q55" s="51">
        <f t="shared" si="33"/>
        <v>12000</v>
      </c>
      <c r="R55" s="51">
        <f t="shared" si="33"/>
        <v>16000</v>
      </c>
      <c r="S55" s="51">
        <f t="shared" si="33"/>
        <v>15000</v>
      </c>
      <c r="T55" s="51">
        <f t="shared" si="33"/>
        <v>18000</v>
      </c>
      <c r="U55" s="51">
        <f t="shared" si="33"/>
        <v>20000</v>
      </c>
      <c r="V55" s="51">
        <f t="shared" si="33"/>
        <v>16000</v>
      </c>
      <c r="W55" s="51">
        <f t="shared" si="33"/>
        <v>14000</v>
      </c>
      <c r="X55" s="51">
        <f t="shared" si="33"/>
        <v>11000</v>
      </c>
      <c r="Y55" s="51">
        <f t="shared" si="33"/>
        <v>11000</v>
      </c>
      <c r="Z55" s="51">
        <f t="shared" si="33"/>
        <v>12000</v>
      </c>
      <c r="AA55" s="51">
        <f t="shared" si="33"/>
        <v>20000</v>
      </c>
      <c r="AB55" s="51">
        <f t="shared" si="33"/>
        <v>22000</v>
      </c>
      <c r="AC55" s="51">
        <f t="shared" si="33"/>
        <v>25000</v>
      </c>
      <c r="AD55" s="51">
        <f t="shared" si="33"/>
        <v>30000</v>
      </c>
      <c r="AE55" s="10"/>
      <c r="AF55" s="10"/>
      <c r="AG55" s="10"/>
      <c r="AH55" s="10"/>
      <c r="AI55" s="10"/>
      <c r="AJ55" s="10"/>
      <c r="AK55" s="10"/>
      <c r="AL55" s="10"/>
      <c r="AM55" s="10"/>
    </row>
    <row r="56" spans="1:39" ht="15.75" hidden="1" customHeight="1" outlineLevel="1" x14ac:dyDescent="0.2">
      <c r="A56" s="48"/>
      <c r="B56" s="49" t="s">
        <v>36</v>
      </c>
      <c r="C56" s="52">
        <v>0.12</v>
      </c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10"/>
      <c r="AF56" s="10"/>
      <c r="AG56" s="10"/>
      <c r="AH56" s="10"/>
      <c r="AI56" s="10"/>
      <c r="AJ56" s="10"/>
      <c r="AK56" s="10"/>
      <c r="AL56" s="10"/>
      <c r="AM56" s="10"/>
    </row>
    <row r="57" spans="1:39" ht="15.75" hidden="1" customHeight="1" outlineLevel="1" x14ac:dyDescent="0.2">
      <c r="A57" s="48"/>
      <c r="B57" s="53" t="s">
        <v>37</v>
      </c>
      <c r="C57" s="54"/>
      <c r="D57" s="51">
        <f t="shared" ref="D57:AD57" si="34">ROUND(D55*$C56,0)</f>
        <v>120</v>
      </c>
      <c r="E57" s="51">
        <f t="shared" si="34"/>
        <v>240</v>
      </c>
      <c r="F57" s="51">
        <f t="shared" si="34"/>
        <v>360</v>
      </c>
      <c r="G57" s="51">
        <f t="shared" si="34"/>
        <v>600</v>
      </c>
      <c r="H57" s="51">
        <f t="shared" si="34"/>
        <v>600</v>
      </c>
      <c r="I57" s="51">
        <f t="shared" si="34"/>
        <v>960</v>
      </c>
      <c r="J57" s="51">
        <f t="shared" si="34"/>
        <v>840</v>
      </c>
      <c r="K57" s="51">
        <f t="shared" si="34"/>
        <v>720</v>
      </c>
      <c r="L57" s="51">
        <f t="shared" si="34"/>
        <v>600</v>
      </c>
      <c r="M57" s="51">
        <f t="shared" si="34"/>
        <v>600</v>
      </c>
      <c r="N57" s="51">
        <f t="shared" si="34"/>
        <v>720</v>
      </c>
      <c r="O57" s="51">
        <f t="shared" si="34"/>
        <v>960</v>
      </c>
      <c r="P57" s="51">
        <f t="shared" si="34"/>
        <v>1200</v>
      </c>
      <c r="Q57" s="51">
        <f t="shared" si="34"/>
        <v>1440</v>
      </c>
      <c r="R57" s="51">
        <f t="shared" si="34"/>
        <v>1920</v>
      </c>
      <c r="S57" s="51">
        <f t="shared" si="34"/>
        <v>1800</v>
      </c>
      <c r="T57" s="51">
        <f t="shared" si="34"/>
        <v>2160</v>
      </c>
      <c r="U57" s="51">
        <f t="shared" si="34"/>
        <v>2400</v>
      </c>
      <c r="V57" s="51">
        <f t="shared" si="34"/>
        <v>1920</v>
      </c>
      <c r="W57" s="51">
        <f t="shared" si="34"/>
        <v>1680</v>
      </c>
      <c r="X57" s="51">
        <f t="shared" si="34"/>
        <v>1320</v>
      </c>
      <c r="Y57" s="51">
        <f t="shared" si="34"/>
        <v>1320</v>
      </c>
      <c r="Z57" s="51">
        <f t="shared" si="34"/>
        <v>1440</v>
      </c>
      <c r="AA57" s="51">
        <f t="shared" si="34"/>
        <v>2400</v>
      </c>
      <c r="AB57" s="51">
        <f t="shared" si="34"/>
        <v>2640</v>
      </c>
      <c r="AC57" s="51">
        <f t="shared" si="34"/>
        <v>3000</v>
      </c>
      <c r="AD57" s="51">
        <f t="shared" si="34"/>
        <v>3600</v>
      </c>
      <c r="AE57" s="10"/>
      <c r="AF57" s="10"/>
      <c r="AG57" s="10"/>
      <c r="AH57" s="10"/>
      <c r="AI57" s="10"/>
      <c r="AJ57" s="10"/>
      <c r="AK57" s="10"/>
      <c r="AL57" s="10"/>
      <c r="AM57" s="10"/>
    </row>
    <row r="58" spans="1:39" ht="15.75" hidden="1" customHeight="1" outlineLevel="1" x14ac:dyDescent="0.2">
      <c r="A58" s="16"/>
      <c r="B58" s="49" t="s">
        <v>38</v>
      </c>
      <c r="C58" s="55">
        <v>0.16</v>
      </c>
      <c r="D58" s="51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  <c r="AA58" s="51"/>
      <c r="AB58" s="51"/>
      <c r="AC58" s="51"/>
      <c r="AD58" s="51"/>
      <c r="AE58" s="10"/>
      <c r="AF58" s="10"/>
      <c r="AG58" s="10"/>
      <c r="AH58" s="10"/>
      <c r="AI58" s="10"/>
      <c r="AJ58" s="10"/>
      <c r="AK58" s="10"/>
      <c r="AL58" s="10"/>
      <c r="AM58" s="10"/>
    </row>
    <row r="59" spans="1:39" ht="15.75" hidden="1" customHeight="1" outlineLevel="1" x14ac:dyDescent="0.2">
      <c r="A59" s="48"/>
      <c r="B59" s="53" t="s">
        <v>39</v>
      </c>
      <c r="C59" s="56"/>
      <c r="D59" s="51">
        <f t="shared" ref="D59:AD59" si="35">ROUND(D57*$C58,0)</f>
        <v>19</v>
      </c>
      <c r="E59" s="51">
        <f t="shared" si="35"/>
        <v>38</v>
      </c>
      <c r="F59" s="51">
        <f t="shared" si="35"/>
        <v>58</v>
      </c>
      <c r="G59" s="51">
        <f t="shared" si="35"/>
        <v>96</v>
      </c>
      <c r="H59" s="51">
        <f t="shared" si="35"/>
        <v>96</v>
      </c>
      <c r="I59" s="51">
        <f t="shared" si="35"/>
        <v>154</v>
      </c>
      <c r="J59" s="51">
        <f t="shared" si="35"/>
        <v>134</v>
      </c>
      <c r="K59" s="51">
        <f t="shared" si="35"/>
        <v>115</v>
      </c>
      <c r="L59" s="51">
        <f t="shared" si="35"/>
        <v>96</v>
      </c>
      <c r="M59" s="51">
        <f t="shared" si="35"/>
        <v>96</v>
      </c>
      <c r="N59" s="51">
        <f t="shared" si="35"/>
        <v>115</v>
      </c>
      <c r="O59" s="51">
        <f t="shared" si="35"/>
        <v>154</v>
      </c>
      <c r="P59" s="51">
        <f t="shared" si="35"/>
        <v>192</v>
      </c>
      <c r="Q59" s="51">
        <f t="shared" si="35"/>
        <v>230</v>
      </c>
      <c r="R59" s="51">
        <f t="shared" si="35"/>
        <v>307</v>
      </c>
      <c r="S59" s="51">
        <f t="shared" si="35"/>
        <v>288</v>
      </c>
      <c r="T59" s="51">
        <f t="shared" si="35"/>
        <v>346</v>
      </c>
      <c r="U59" s="51">
        <f t="shared" si="35"/>
        <v>384</v>
      </c>
      <c r="V59" s="51">
        <f t="shared" si="35"/>
        <v>307</v>
      </c>
      <c r="W59" s="51">
        <f t="shared" si="35"/>
        <v>269</v>
      </c>
      <c r="X59" s="51">
        <f t="shared" si="35"/>
        <v>211</v>
      </c>
      <c r="Y59" s="51">
        <f t="shared" si="35"/>
        <v>211</v>
      </c>
      <c r="Z59" s="51">
        <f t="shared" si="35"/>
        <v>230</v>
      </c>
      <c r="AA59" s="51">
        <f t="shared" si="35"/>
        <v>384</v>
      </c>
      <c r="AB59" s="51">
        <f t="shared" si="35"/>
        <v>422</v>
      </c>
      <c r="AC59" s="51">
        <f t="shared" si="35"/>
        <v>480</v>
      </c>
      <c r="AD59" s="51">
        <f t="shared" si="35"/>
        <v>576</v>
      </c>
      <c r="AE59" s="10"/>
      <c r="AF59" s="10"/>
      <c r="AG59" s="10"/>
      <c r="AH59" s="10"/>
      <c r="AI59" s="10"/>
      <c r="AJ59" s="10"/>
      <c r="AK59" s="10"/>
      <c r="AL59" s="10"/>
      <c r="AM59" s="10"/>
    </row>
    <row r="60" spans="1:39" ht="15.75" hidden="1" customHeight="1" outlineLevel="1" x14ac:dyDescent="0.2">
      <c r="A60" s="16"/>
      <c r="B60" s="49" t="s">
        <v>40</v>
      </c>
      <c r="C60" s="55">
        <v>0.34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  <c r="AA60" s="51"/>
      <c r="AB60" s="51"/>
      <c r="AC60" s="51"/>
      <c r="AD60" s="51"/>
      <c r="AE60" s="10"/>
      <c r="AF60" s="10"/>
      <c r="AG60" s="10"/>
      <c r="AH60" s="10"/>
      <c r="AI60" s="10"/>
      <c r="AJ60" s="10"/>
      <c r="AK60" s="10"/>
      <c r="AL60" s="10"/>
      <c r="AM60" s="10"/>
    </row>
    <row r="61" spans="1:39" ht="15.75" hidden="1" customHeight="1" outlineLevel="1" x14ac:dyDescent="0.2">
      <c r="A61" s="16"/>
      <c r="B61" s="53" t="s">
        <v>41</v>
      </c>
      <c r="C61" s="56"/>
      <c r="D61" s="51">
        <f t="shared" ref="D61:AD61" si="36">ROUND(D59*$C60,0)</f>
        <v>6</v>
      </c>
      <c r="E61" s="51">
        <f t="shared" si="36"/>
        <v>13</v>
      </c>
      <c r="F61" s="51">
        <f t="shared" si="36"/>
        <v>20</v>
      </c>
      <c r="G61" s="51">
        <f t="shared" si="36"/>
        <v>33</v>
      </c>
      <c r="H61" s="51">
        <f t="shared" si="36"/>
        <v>33</v>
      </c>
      <c r="I61" s="51">
        <f t="shared" si="36"/>
        <v>52</v>
      </c>
      <c r="J61" s="51">
        <f t="shared" si="36"/>
        <v>46</v>
      </c>
      <c r="K61" s="51">
        <f t="shared" si="36"/>
        <v>39</v>
      </c>
      <c r="L61" s="51">
        <f t="shared" si="36"/>
        <v>33</v>
      </c>
      <c r="M61" s="51">
        <f t="shared" si="36"/>
        <v>33</v>
      </c>
      <c r="N61" s="51">
        <f t="shared" si="36"/>
        <v>39</v>
      </c>
      <c r="O61" s="51">
        <f t="shared" si="36"/>
        <v>52</v>
      </c>
      <c r="P61" s="51">
        <f t="shared" si="36"/>
        <v>65</v>
      </c>
      <c r="Q61" s="51">
        <f t="shared" si="36"/>
        <v>78</v>
      </c>
      <c r="R61" s="51">
        <f t="shared" si="36"/>
        <v>104</v>
      </c>
      <c r="S61" s="51">
        <f t="shared" si="36"/>
        <v>98</v>
      </c>
      <c r="T61" s="51">
        <f t="shared" si="36"/>
        <v>118</v>
      </c>
      <c r="U61" s="51">
        <f t="shared" si="36"/>
        <v>131</v>
      </c>
      <c r="V61" s="51">
        <f t="shared" si="36"/>
        <v>104</v>
      </c>
      <c r="W61" s="51">
        <f t="shared" si="36"/>
        <v>91</v>
      </c>
      <c r="X61" s="51">
        <f t="shared" si="36"/>
        <v>72</v>
      </c>
      <c r="Y61" s="51">
        <f t="shared" si="36"/>
        <v>72</v>
      </c>
      <c r="Z61" s="51">
        <f t="shared" si="36"/>
        <v>78</v>
      </c>
      <c r="AA61" s="51">
        <f t="shared" si="36"/>
        <v>131</v>
      </c>
      <c r="AB61" s="51">
        <f t="shared" si="36"/>
        <v>143</v>
      </c>
      <c r="AC61" s="51">
        <f t="shared" si="36"/>
        <v>163</v>
      </c>
      <c r="AD61" s="51">
        <f t="shared" si="36"/>
        <v>196</v>
      </c>
      <c r="AE61" s="10"/>
      <c r="AF61" s="10"/>
      <c r="AG61" s="10"/>
      <c r="AH61" s="10"/>
      <c r="AI61" s="10"/>
      <c r="AJ61" s="10"/>
      <c r="AK61" s="10"/>
      <c r="AL61" s="10"/>
      <c r="AM61" s="10"/>
    </row>
    <row r="62" spans="1:39" ht="15.75" hidden="1" customHeight="1" outlineLevel="1" x14ac:dyDescent="0.2">
      <c r="A62" s="16"/>
      <c r="B62" s="49" t="s">
        <v>42</v>
      </c>
      <c r="C62" s="52">
        <v>0.22</v>
      </c>
      <c r="D62" s="51"/>
      <c r="E62" s="51"/>
      <c r="F62" s="51">
        <f t="shared" ref="F62:G62" si="37">D61*$C62</f>
        <v>1.32</v>
      </c>
      <c r="G62" s="51">
        <f t="shared" si="37"/>
        <v>2.86</v>
      </c>
      <c r="H62" s="51">
        <f t="shared" ref="H62:AD62" si="38">F61*$C62+F62*$C62</f>
        <v>4.6904000000000003</v>
      </c>
      <c r="I62" s="51">
        <f t="shared" si="38"/>
        <v>7.8891999999999998</v>
      </c>
      <c r="J62" s="51">
        <f t="shared" si="38"/>
        <v>8.2918880000000001</v>
      </c>
      <c r="K62" s="51">
        <f t="shared" si="38"/>
        <v>13.175623999999999</v>
      </c>
      <c r="L62" s="51">
        <f t="shared" si="38"/>
        <v>11.944215359999999</v>
      </c>
      <c r="M62" s="51">
        <f t="shared" si="38"/>
        <v>11.478637280000001</v>
      </c>
      <c r="N62" s="51">
        <f t="shared" si="38"/>
        <v>9.8877273791999993</v>
      </c>
      <c r="O62" s="51">
        <f t="shared" si="38"/>
        <v>9.7853002016000001</v>
      </c>
      <c r="P62" s="51">
        <f t="shared" si="38"/>
        <v>10.755300023424001</v>
      </c>
      <c r="Q62" s="51">
        <f t="shared" si="38"/>
        <v>13.592766044352</v>
      </c>
      <c r="R62" s="51">
        <f t="shared" si="38"/>
        <v>16.666166005153279</v>
      </c>
      <c r="S62" s="51">
        <f t="shared" si="38"/>
        <v>20.150408529757442</v>
      </c>
      <c r="T62" s="51">
        <f t="shared" si="38"/>
        <v>26.54655652113372</v>
      </c>
      <c r="U62" s="51">
        <f t="shared" si="38"/>
        <v>25.993089876546634</v>
      </c>
      <c r="V62" s="51">
        <f t="shared" si="38"/>
        <v>31.800242434649419</v>
      </c>
      <c r="W62" s="51">
        <f t="shared" si="38"/>
        <v>34.538479772840262</v>
      </c>
      <c r="X62" s="51">
        <f t="shared" si="38"/>
        <v>29.876053335622871</v>
      </c>
      <c r="Y62" s="51">
        <f t="shared" si="38"/>
        <v>27.618465550024858</v>
      </c>
      <c r="Z62" s="51">
        <f t="shared" si="38"/>
        <v>22.412731733837031</v>
      </c>
      <c r="AA62" s="51">
        <f t="shared" si="38"/>
        <v>21.916062421005471</v>
      </c>
      <c r="AB62" s="51">
        <f t="shared" si="38"/>
        <v>22.090800981444147</v>
      </c>
      <c r="AC62" s="51">
        <f t="shared" si="38"/>
        <v>33.641533732621205</v>
      </c>
      <c r="AD62" s="51">
        <f t="shared" si="38"/>
        <v>36.319976215917713</v>
      </c>
      <c r="AE62" s="10"/>
      <c r="AF62" s="10"/>
      <c r="AG62" s="10"/>
      <c r="AH62" s="10"/>
      <c r="AI62" s="10"/>
      <c r="AJ62" s="10"/>
      <c r="AK62" s="10"/>
      <c r="AL62" s="10"/>
      <c r="AM62" s="10"/>
    </row>
    <row r="63" spans="1:39" ht="15.75" hidden="1" customHeight="1" outlineLevel="1" x14ac:dyDescent="0.2">
      <c r="A63" s="16"/>
      <c r="B63" s="49" t="s">
        <v>43</v>
      </c>
      <c r="C63" s="57"/>
      <c r="D63" s="51">
        <f t="shared" ref="D63:AD63" si="39">D61+D62</f>
        <v>6</v>
      </c>
      <c r="E63" s="51">
        <f t="shared" si="39"/>
        <v>13</v>
      </c>
      <c r="F63" s="51">
        <f t="shared" si="39"/>
        <v>21.32</v>
      </c>
      <c r="G63" s="51">
        <f t="shared" si="39"/>
        <v>35.86</v>
      </c>
      <c r="H63" s="51">
        <f t="shared" si="39"/>
        <v>37.690399999999997</v>
      </c>
      <c r="I63" s="51">
        <f t="shared" si="39"/>
        <v>59.889200000000002</v>
      </c>
      <c r="J63" s="51">
        <f t="shared" si="39"/>
        <v>54.291888</v>
      </c>
      <c r="K63" s="51">
        <f t="shared" si="39"/>
        <v>52.175623999999999</v>
      </c>
      <c r="L63" s="51">
        <f t="shared" si="39"/>
        <v>44.944215360000001</v>
      </c>
      <c r="M63" s="51">
        <f t="shared" si="39"/>
        <v>44.478637280000001</v>
      </c>
      <c r="N63" s="51">
        <f t="shared" si="39"/>
        <v>48.887727379200001</v>
      </c>
      <c r="O63" s="51">
        <f t="shared" si="39"/>
        <v>61.785300201600002</v>
      </c>
      <c r="P63" s="51">
        <f t="shared" si="39"/>
        <v>75.755300023423999</v>
      </c>
      <c r="Q63" s="51">
        <f t="shared" si="39"/>
        <v>91.592766044352004</v>
      </c>
      <c r="R63" s="51">
        <f t="shared" si="39"/>
        <v>120.66616600515329</v>
      </c>
      <c r="S63" s="51">
        <f t="shared" si="39"/>
        <v>118.15040852975744</v>
      </c>
      <c r="T63" s="51">
        <f t="shared" si="39"/>
        <v>144.54655652113371</v>
      </c>
      <c r="U63" s="51">
        <f t="shared" si="39"/>
        <v>156.99308987654663</v>
      </c>
      <c r="V63" s="51">
        <f t="shared" si="39"/>
        <v>135.80024243464942</v>
      </c>
      <c r="W63" s="51">
        <f t="shared" si="39"/>
        <v>125.53847977284026</v>
      </c>
      <c r="X63" s="51">
        <f t="shared" si="39"/>
        <v>101.87605333562287</v>
      </c>
      <c r="Y63" s="51">
        <f t="shared" si="39"/>
        <v>99.618465550024865</v>
      </c>
      <c r="Z63" s="51">
        <f t="shared" si="39"/>
        <v>100.41273173383703</v>
      </c>
      <c r="AA63" s="51">
        <f t="shared" si="39"/>
        <v>152.91606242100548</v>
      </c>
      <c r="AB63" s="51">
        <f t="shared" si="39"/>
        <v>165.09080098144415</v>
      </c>
      <c r="AC63" s="51">
        <f t="shared" si="39"/>
        <v>196.64153373262121</v>
      </c>
      <c r="AD63" s="51">
        <f t="shared" si="39"/>
        <v>232.31997621591771</v>
      </c>
      <c r="AE63" s="10"/>
      <c r="AF63" s="10"/>
      <c r="AG63" s="10"/>
      <c r="AH63" s="10"/>
      <c r="AI63" s="10"/>
      <c r="AJ63" s="10"/>
      <c r="AK63" s="10"/>
      <c r="AL63" s="10"/>
      <c r="AM63" s="10"/>
    </row>
    <row r="64" spans="1:39" ht="15.75" hidden="1" customHeight="1" outlineLevel="1" x14ac:dyDescent="0.2">
      <c r="A64" s="16"/>
      <c r="B64" s="53" t="s">
        <v>44</v>
      </c>
      <c r="C64" s="58">
        <v>2635</v>
      </c>
      <c r="D64" s="51"/>
      <c r="E64" s="51"/>
      <c r="F64" s="51"/>
      <c r="G64" s="51"/>
      <c r="H64" s="51"/>
      <c r="I64" s="51"/>
      <c r="J64" s="51"/>
      <c r="K64" s="51"/>
      <c r="L64" s="51"/>
      <c r="M64" s="51"/>
      <c r="N64" s="51"/>
      <c r="O64" s="51"/>
      <c r="P64" s="51"/>
      <c r="Q64" s="51"/>
      <c r="R64" s="51"/>
      <c r="S64" s="51"/>
      <c r="T64" s="51"/>
      <c r="U64" s="51"/>
      <c r="V64" s="51"/>
      <c r="W64" s="51"/>
      <c r="X64" s="51"/>
      <c r="Y64" s="51"/>
      <c r="Z64" s="51"/>
      <c r="AA64" s="51"/>
      <c r="AB64" s="51"/>
      <c r="AC64" s="51"/>
      <c r="AD64" s="51"/>
      <c r="AE64" s="10"/>
      <c r="AF64" s="10"/>
      <c r="AG64" s="10"/>
      <c r="AH64" s="10"/>
      <c r="AI64" s="10"/>
      <c r="AJ64" s="10"/>
      <c r="AK64" s="10"/>
      <c r="AL64" s="10"/>
      <c r="AM64" s="10"/>
    </row>
    <row r="65" spans="1:39" ht="15.75" customHeight="1" collapsed="1" x14ac:dyDescent="0.2">
      <c r="A65" s="59"/>
      <c r="B65" s="43" t="s">
        <v>45</v>
      </c>
      <c r="C65" s="44" t="s">
        <v>31</v>
      </c>
      <c r="D65" s="60">
        <f t="shared" ref="D65:AD65" si="40">D75*$C76</f>
        <v>12240</v>
      </c>
      <c r="E65" s="60">
        <f t="shared" si="40"/>
        <v>26520</v>
      </c>
      <c r="F65" s="60">
        <f t="shared" si="40"/>
        <v>43492.800000000003</v>
      </c>
      <c r="G65" s="60">
        <f t="shared" si="40"/>
        <v>73154.399999999994</v>
      </c>
      <c r="H65" s="60">
        <f t="shared" si="40"/>
        <v>76888.415999999997</v>
      </c>
      <c r="I65" s="60">
        <f t="shared" si="40"/>
        <v>122173.96800000001</v>
      </c>
      <c r="J65" s="60">
        <f t="shared" si="40"/>
        <v>110755.45152</v>
      </c>
      <c r="K65" s="60">
        <f t="shared" si="40"/>
        <v>106438.27296</v>
      </c>
      <c r="L65" s="60">
        <f t="shared" si="40"/>
        <v>91686.199334400008</v>
      </c>
      <c r="M65" s="60">
        <f t="shared" si="40"/>
        <v>90736.420051199995</v>
      </c>
      <c r="N65" s="60">
        <f t="shared" si="40"/>
        <v>99730.963853567999</v>
      </c>
      <c r="O65" s="60">
        <f t="shared" si="40"/>
        <v>126042.012411264</v>
      </c>
      <c r="P65" s="60">
        <f t="shared" si="40"/>
        <v>154540.81204778494</v>
      </c>
      <c r="Q65" s="60">
        <f t="shared" si="40"/>
        <v>186849.24273047809</v>
      </c>
      <c r="R65" s="60">
        <f t="shared" si="40"/>
        <v>246158.9786505127</v>
      </c>
      <c r="S65" s="60">
        <f t="shared" si="40"/>
        <v>241026.83340070519</v>
      </c>
      <c r="T65" s="60">
        <f t="shared" si="40"/>
        <v>294874.97530311276</v>
      </c>
      <c r="U65" s="60">
        <f t="shared" si="40"/>
        <v>320265.90334815515</v>
      </c>
      <c r="V65" s="60">
        <f t="shared" si="40"/>
        <v>277032.49456668482</v>
      </c>
      <c r="W65" s="60">
        <f t="shared" si="40"/>
        <v>256098.49873659413</v>
      </c>
      <c r="X65" s="60">
        <f t="shared" si="40"/>
        <v>207827.14880467067</v>
      </c>
      <c r="Y65" s="60">
        <f t="shared" si="40"/>
        <v>203221.66972205072</v>
      </c>
      <c r="Z65" s="60">
        <f t="shared" si="40"/>
        <v>204841.97273702757</v>
      </c>
      <c r="AA65" s="60">
        <f t="shared" si="40"/>
        <v>311948.76733885118</v>
      </c>
      <c r="AB65" s="60">
        <f t="shared" si="40"/>
        <v>336785.23400214605</v>
      </c>
      <c r="AC65" s="60">
        <f t="shared" si="40"/>
        <v>401148.7288145473</v>
      </c>
      <c r="AD65" s="60">
        <f t="shared" si="40"/>
        <v>473932.7514804721</v>
      </c>
      <c r="AE65" s="10"/>
      <c r="AF65" s="10"/>
      <c r="AG65" s="10"/>
      <c r="AH65" s="10"/>
      <c r="AI65" s="10"/>
      <c r="AJ65" s="10"/>
      <c r="AK65" s="10"/>
      <c r="AL65" s="10"/>
      <c r="AM65" s="10"/>
    </row>
    <row r="66" spans="1:39" ht="16.5" hidden="1" customHeight="1" outlineLevel="1" x14ac:dyDescent="0.2">
      <c r="A66" s="16"/>
      <c r="B66" s="46" t="s">
        <v>33</v>
      </c>
      <c r="C66" s="7" t="s">
        <v>34</v>
      </c>
      <c r="D66" s="47">
        <v>0.1</v>
      </c>
      <c r="E66" s="47">
        <v>0.2</v>
      </c>
      <c r="F66" s="47">
        <v>0.3</v>
      </c>
      <c r="G66" s="47">
        <v>0.5</v>
      </c>
      <c r="H66" s="47">
        <v>0.5</v>
      </c>
      <c r="I66" s="47">
        <v>0.8</v>
      </c>
      <c r="J66" s="47">
        <v>0.7</v>
      </c>
      <c r="K66" s="47">
        <v>0.6</v>
      </c>
      <c r="L66" s="47">
        <v>0.5</v>
      </c>
      <c r="M66" s="47">
        <v>0.5</v>
      </c>
      <c r="N66" s="47">
        <v>0.6</v>
      </c>
      <c r="O66" s="47">
        <v>0.8</v>
      </c>
      <c r="P66" s="47">
        <v>1</v>
      </c>
      <c r="Q66" s="47">
        <v>1.2</v>
      </c>
      <c r="R66" s="47">
        <v>1.6</v>
      </c>
      <c r="S66" s="47">
        <v>1.5</v>
      </c>
      <c r="T66" s="47">
        <v>1.8</v>
      </c>
      <c r="U66" s="47">
        <v>2</v>
      </c>
      <c r="V66" s="47">
        <v>1.6</v>
      </c>
      <c r="W66" s="47">
        <v>1.4</v>
      </c>
      <c r="X66" s="47">
        <v>1.1000000000000001</v>
      </c>
      <c r="Y66" s="47">
        <v>1.1000000000000001</v>
      </c>
      <c r="Z66" s="47">
        <v>1.2</v>
      </c>
      <c r="AA66" s="47">
        <v>2</v>
      </c>
      <c r="AB66" s="47">
        <v>2.2000000000000002</v>
      </c>
      <c r="AC66" s="47">
        <v>2.5</v>
      </c>
      <c r="AD66" s="47">
        <v>3</v>
      </c>
      <c r="AE66" s="10"/>
      <c r="AF66" s="10"/>
      <c r="AG66" s="10"/>
      <c r="AH66" s="10"/>
      <c r="AI66" s="10"/>
      <c r="AJ66" s="10"/>
      <c r="AK66" s="10"/>
      <c r="AL66" s="10"/>
      <c r="AM66" s="10"/>
    </row>
    <row r="67" spans="1:39" ht="15.75" hidden="1" customHeight="1" outlineLevel="1" x14ac:dyDescent="0.2">
      <c r="A67" s="48"/>
      <c r="B67" s="49" t="s">
        <v>35</v>
      </c>
      <c r="C67" s="50">
        <v>10000</v>
      </c>
      <c r="D67" s="51">
        <f t="shared" ref="D67:AD67" si="41">ROUND(D66*$C67,0)</f>
        <v>1000</v>
      </c>
      <c r="E67" s="51">
        <f t="shared" si="41"/>
        <v>2000</v>
      </c>
      <c r="F67" s="51">
        <f t="shared" si="41"/>
        <v>3000</v>
      </c>
      <c r="G67" s="51">
        <f t="shared" si="41"/>
        <v>5000</v>
      </c>
      <c r="H67" s="51">
        <f t="shared" si="41"/>
        <v>5000</v>
      </c>
      <c r="I67" s="51">
        <f t="shared" si="41"/>
        <v>8000</v>
      </c>
      <c r="J67" s="51">
        <f t="shared" si="41"/>
        <v>7000</v>
      </c>
      <c r="K67" s="51">
        <f t="shared" si="41"/>
        <v>6000</v>
      </c>
      <c r="L67" s="51">
        <f t="shared" si="41"/>
        <v>5000</v>
      </c>
      <c r="M67" s="51">
        <f t="shared" si="41"/>
        <v>5000</v>
      </c>
      <c r="N67" s="51">
        <f t="shared" si="41"/>
        <v>6000</v>
      </c>
      <c r="O67" s="51">
        <f t="shared" si="41"/>
        <v>8000</v>
      </c>
      <c r="P67" s="51">
        <f t="shared" si="41"/>
        <v>10000</v>
      </c>
      <c r="Q67" s="51">
        <f t="shared" si="41"/>
        <v>12000</v>
      </c>
      <c r="R67" s="51">
        <f t="shared" si="41"/>
        <v>16000</v>
      </c>
      <c r="S67" s="51">
        <f t="shared" si="41"/>
        <v>15000</v>
      </c>
      <c r="T67" s="51">
        <f t="shared" si="41"/>
        <v>18000</v>
      </c>
      <c r="U67" s="51">
        <f t="shared" si="41"/>
        <v>20000</v>
      </c>
      <c r="V67" s="51">
        <f t="shared" si="41"/>
        <v>16000</v>
      </c>
      <c r="W67" s="51">
        <f t="shared" si="41"/>
        <v>14000</v>
      </c>
      <c r="X67" s="51">
        <f t="shared" si="41"/>
        <v>11000</v>
      </c>
      <c r="Y67" s="51">
        <f t="shared" si="41"/>
        <v>11000</v>
      </c>
      <c r="Z67" s="51">
        <f t="shared" si="41"/>
        <v>12000</v>
      </c>
      <c r="AA67" s="51">
        <f t="shared" si="41"/>
        <v>20000</v>
      </c>
      <c r="AB67" s="51">
        <f t="shared" si="41"/>
        <v>22000</v>
      </c>
      <c r="AC67" s="51">
        <f t="shared" si="41"/>
        <v>25000</v>
      </c>
      <c r="AD67" s="51">
        <f t="shared" si="41"/>
        <v>30000</v>
      </c>
      <c r="AE67" s="10"/>
      <c r="AF67" s="10"/>
      <c r="AG67" s="10"/>
      <c r="AH67" s="10"/>
      <c r="AI67" s="10"/>
      <c r="AJ67" s="10"/>
      <c r="AK67" s="10"/>
      <c r="AL67" s="10"/>
      <c r="AM67" s="10"/>
    </row>
    <row r="68" spans="1:39" ht="15.75" hidden="1" customHeight="1" outlineLevel="1" x14ac:dyDescent="0.2">
      <c r="A68" s="48"/>
      <c r="B68" s="49" t="s">
        <v>36</v>
      </c>
      <c r="C68" s="52">
        <v>0.12</v>
      </c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10"/>
      <c r="AF68" s="10"/>
      <c r="AG68" s="10"/>
      <c r="AH68" s="10"/>
      <c r="AI68" s="10"/>
      <c r="AJ68" s="10"/>
      <c r="AK68" s="10"/>
      <c r="AL68" s="10"/>
      <c r="AM68" s="10"/>
    </row>
    <row r="69" spans="1:39" ht="15.75" hidden="1" customHeight="1" outlineLevel="1" x14ac:dyDescent="0.2">
      <c r="A69" s="48"/>
      <c r="B69" s="53" t="s">
        <v>37</v>
      </c>
      <c r="C69" s="54"/>
      <c r="D69" s="51">
        <f t="shared" ref="D69:AD69" si="42">ROUND(D67*$C68,0)</f>
        <v>120</v>
      </c>
      <c r="E69" s="51">
        <f t="shared" si="42"/>
        <v>240</v>
      </c>
      <c r="F69" s="51">
        <f t="shared" si="42"/>
        <v>360</v>
      </c>
      <c r="G69" s="51">
        <f t="shared" si="42"/>
        <v>600</v>
      </c>
      <c r="H69" s="51">
        <f t="shared" si="42"/>
        <v>600</v>
      </c>
      <c r="I69" s="51">
        <f t="shared" si="42"/>
        <v>960</v>
      </c>
      <c r="J69" s="51">
        <f t="shared" si="42"/>
        <v>840</v>
      </c>
      <c r="K69" s="51">
        <f t="shared" si="42"/>
        <v>720</v>
      </c>
      <c r="L69" s="51">
        <f t="shared" si="42"/>
        <v>600</v>
      </c>
      <c r="M69" s="51">
        <f t="shared" si="42"/>
        <v>600</v>
      </c>
      <c r="N69" s="51">
        <f t="shared" si="42"/>
        <v>720</v>
      </c>
      <c r="O69" s="51">
        <f t="shared" si="42"/>
        <v>960</v>
      </c>
      <c r="P69" s="51">
        <f t="shared" si="42"/>
        <v>1200</v>
      </c>
      <c r="Q69" s="51">
        <f t="shared" si="42"/>
        <v>1440</v>
      </c>
      <c r="R69" s="51">
        <f t="shared" si="42"/>
        <v>1920</v>
      </c>
      <c r="S69" s="51">
        <f t="shared" si="42"/>
        <v>1800</v>
      </c>
      <c r="T69" s="51">
        <f t="shared" si="42"/>
        <v>2160</v>
      </c>
      <c r="U69" s="51">
        <f t="shared" si="42"/>
        <v>2400</v>
      </c>
      <c r="V69" s="51">
        <f t="shared" si="42"/>
        <v>1920</v>
      </c>
      <c r="W69" s="51">
        <f t="shared" si="42"/>
        <v>1680</v>
      </c>
      <c r="X69" s="51">
        <f t="shared" si="42"/>
        <v>1320</v>
      </c>
      <c r="Y69" s="51">
        <f t="shared" si="42"/>
        <v>1320</v>
      </c>
      <c r="Z69" s="51">
        <f t="shared" si="42"/>
        <v>1440</v>
      </c>
      <c r="AA69" s="51">
        <f t="shared" si="42"/>
        <v>2400</v>
      </c>
      <c r="AB69" s="51">
        <f t="shared" si="42"/>
        <v>2640</v>
      </c>
      <c r="AC69" s="51">
        <f t="shared" si="42"/>
        <v>3000</v>
      </c>
      <c r="AD69" s="51">
        <f t="shared" si="42"/>
        <v>3600</v>
      </c>
      <c r="AE69" s="10"/>
      <c r="AF69" s="10"/>
      <c r="AG69" s="10"/>
      <c r="AH69" s="10"/>
      <c r="AI69" s="10"/>
      <c r="AJ69" s="10"/>
      <c r="AK69" s="10"/>
      <c r="AL69" s="10"/>
      <c r="AM69" s="10"/>
    </row>
    <row r="70" spans="1:39" ht="15.75" hidden="1" customHeight="1" outlineLevel="1" x14ac:dyDescent="0.2">
      <c r="A70" s="16"/>
      <c r="B70" s="49" t="s">
        <v>38</v>
      </c>
      <c r="C70" s="55">
        <v>0.16</v>
      </c>
      <c r="D70" s="51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  <c r="AA70" s="51"/>
      <c r="AB70" s="51"/>
      <c r="AC70" s="51"/>
      <c r="AD70" s="51"/>
      <c r="AE70" s="10"/>
      <c r="AF70" s="10"/>
      <c r="AG70" s="10"/>
      <c r="AH70" s="10"/>
      <c r="AI70" s="10"/>
      <c r="AJ70" s="10"/>
      <c r="AK70" s="10"/>
      <c r="AL70" s="10"/>
      <c r="AM70" s="10"/>
    </row>
    <row r="71" spans="1:39" ht="15.75" hidden="1" customHeight="1" outlineLevel="1" x14ac:dyDescent="0.2">
      <c r="A71" s="48"/>
      <c r="B71" s="53" t="s">
        <v>39</v>
      </c>
      <c r="C71" s="56"/>
      <c r="D71" s="51">
        <f t="shared" ref="D71:AD71" si="43">ROUND(D69*$C70,0)</f>
        <v>19</v>
      </c>
      <c r="E71" s="51">
        <f t="shared" si="43"/>
        <v>38</v>
      </c>
      <c r="F71" s="51">
        <f t="shared" si="43"/>
        <v>58</v>
      </c>
      <c r="G71" s="51">
        <f t="shared" si="43"/>
        <v>96</v>
      </c>
      <c r="H71" s="51">
        <f t="shared" si="43"/>
        <v>96</v>
      </c>
      <c r="I71" s="51">
        <f t="shared" si="43"/>
        <v>154</v>
      </c>
      <c r="J71" s="51">
        <f t="shared" si="43"/>
        <v>134</v>
      </c>
      <c r="K71" s="51">
        <f t="shared" si="43"/>
        <v>115</v>
      </c>
      <c r="L71" s="51">
        <f t="shared" si="43"/>
        <v>96</v>
      </c>
      <c r="M71" s="51">
        <f t="shared" si="43"/>
        <v>96</v>
      </c>
      <c r="N71" s="51">
        <f t="shared" si="43"/>
        <v>115</v>
      </c>
      <c r="O71" s="51">
        <f t="shared" si="43"/>
        <v>154</v>
      </c>
      <c r="P71" s="51">
        <f t="shared" si="43"/>
        <v>192</v>
      </c>
      <c r="Q71" s="51">
        <f t="shared" si="43"/>
        <v>230</v>
      </c>
      <c r="R71" s="51">
        <f t="shared" si="43"/>
        <v>307</v>
      </c>
      <c r="S71" s="51">
        <f t="shared" si="43"/>
        <v>288</v>
      </c>
      <c r="T71" s="51">
        <f t="shared" si="43"/>
        <v>346</v>
      </c>
      <c r="U71" s="51">
        <f t="shared" si="43"/>
        <v>384</v>
      </c>
      <c r="V71" s="51">
        <f t="shared" si="43"/>
        <v>307</v>
      </c>
      <c r="W71" s="51">
        <f t="shared" si="43"/>
        <v>269</v>
      </c>
      <c r="X71" s="51">
        <f t="shared" si="43"/>
        <v>211</v>
      </c>
      <c r="Y71" s="51">
        <f t="shared" si="43"/>
        <v>211</v>
      </c>
      <c r="Z71" s="51">
        <f t="shared" si="43"/>
        <v>230</v>
      </c>
      <c r="AA71" s="51">
        <f t="shared" si="43"/>
        <v>384</v>
      </c>
      <c r="AB71" s="51">
        <f t="shared" si="43"/>
        <v>422</v>
      </c>
      <c r="AC71" s="51">
        <f t="shared" si="43"/>
        <v>480</v>
      </c>
      <c r="AD71" s="51">
        <f t="shared" si="43"/>
        <v>576</v>
      </c>
      <c r="AE71" s="10"/>
      <c r="AF71" s="10"/>
      <c r="AG71" s="10"/>
      <c r="AH71" s="10"/>
      <c r="AI71" s="10"/>
      <c r="AJ71" s="10"/>
      <c r="AK71" s="10"/>
      <c r="AL71" s="10"/>
      <c r="AM71" s="10"/>
    </row>
    <row r="72" spans="1:39" ht="15.75" hidden="1" customHeight="1" outlineLevel="1" x14ac:dyDescent="0.2">
      <c r="A72" s="16"/>
      <c r="B72" s="49" t="s">
        <v>40</v>
      </c>
      <c r="C72" s="55">
        <v>0.34</v>
      </c>
      <c r="D72" s="51"/>
      <c r="E72" s="51"/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  <c r="AA72" s="51"/>
      <c r="AB72" s="51"/>
      <c r="AC72" s="51"/>
      <c r="AD72" s="51"/>
      <c r="AE72" s="10"/>
      <c r="AF72" s="10"/>
      <c r="AG72" s="10"/>
      <c r="AH72" s="10"/>
      <c r="AI72" s="10"/>
      <c r="AJ72" s="10"/>
      <c r="AK72" s="10"/>
      <c r="AL72" s="10"/>
      <c r="AM72" s="10"/>
    </row>
    <row r="73" spans="1:39" ht="15.75" hidden="1" customHeight="1" outlineLevel="1" x14ac:dyDescent="0.2">
      <c r="A73" s="16"/>
      <c r="B73" s="53" t="s">
        <v>41</v>
      </c>
      <c r="C73" s="56"/>
      <c r="D73" s="51">
        <f t="shared" ref="D73:AD73" si="44">ROUND(D71*$C72,0)</f>
        <v>6</v>
      </c>
      <c r="E73" s="51">
        <f t="shared" si="44"/>
        <v>13</v>
      </c>
      <c r="F73" s="51">
        <f t="shared" si="44"/>
        <v>20</v>
      </c>
      <c r="G73" s="51">
        <f t="shared" si="44"/>
        <v>33</v>
      </c>
      <c r="H73" s="51">
        <f t="shared" si="44"/>
        <v>33</v>
      </c>
      <c r="I73" s="51">
        <f t="shared" si="44"/>
        <v>52</v>
      </c>
      <c r="J73" s="51">
        <f t="shared" si="44"/>
        <v>46</v>
      </c>
      <c r="K73" s="51">
        <f t="shared" si="44"/>
        <v>39</v>
      </c>
      <c r="L73" s="51">
        <f t="shared" si="44"/>
        <v>33</v>
      </c>
      <c r="M73" s="51">
        <f t="shared" si="44"/>
        <v>33</v>
      </c>
      <c r="N73" s="51">
        <f t="shared" si="44"/>
        <v>39</v>
      </c>
      <c r="O73" s="51">
        <f t="shared" si="44"/>
        <v>52</v>
      </c>
      <c r="P73" s="51">
        <f t="shared" si="44"/>
        <v>65</v>
      </c>
      <c r="Q73" s="51">
        <f t="shared" si="44"/>
        <v>78</v>
      </c>
      <c r="R73" s="51">
        <f t="shared" si="44"/>
        <v>104</v>
      </c>
      <c r="S73" s="51">
        <f t="shared" si="44"/>
        <v>98</v>
      </c>
      <c r="T73" s="51">
        <f t="shared" si="44"/>
        <v>118</v>
      </c>
      <c r="U73" s="51">
        <f t="shared" si="44"/>
        <v>131</v>
      </c>
      <c r="V73" s="51">
        <f t="shared" si="44"/>
        <v>104</v>
      </c>
      <c r="W73" s="51">
        <f t="shared" si="44"/>
        <v>91</v>
      </c>
      <c r="X73" s="51">
        <f t="shared" si="44"/>
        <v>72</v>
      </c>
      <c r="Y73" s="51">
        <f t="shared" si="44"/>
        <v>72</v>
      </c>
      <c r="Z73" s="51">
        <f t="shared" si="44"/>
        <v>78</v>
      </c>
      <c r="AA73" s="51">
        <f t="shared" si="44"/>
        <v>131</v>
      </c>
      <c r="AB73" s="51">
        <f t="shared" si="44"/>
        <v>143</v>
      </c>
      <c r="AC73" s="51">
        <f t="shared" si="44"/>
        <v>163</v>
      </c>
      <c r="AD73" s="51">
        <f t="shared" si="44"/>
        <v>196</v>
      </c>
      <c r="AE73" s="10"/>
      <c r="AF73" s="10"/>
      <c r="AG73" s="10"/>
      <c r="AH73" s="10"/>
      <c r="AI73" s="10"/>
      <c r="AJ73" s="10"/>
      <c r="AK73" s="10"/>
      <c r="AL73" s="10"/>
      <c r="AM73" s="10"/>
    </row>
    <row r="74" spans="1:39" ht="15.75" hidden="1" customHeight="1" outlineLevel="1" x14ac:dyDescent="0.2">
      <c r="A74" s="16"/>
      <c r="B74" s="49" t="s">
        <v>42</v>
      </c>
      <c r="C74" s="52">
        <v>0.22</v>
      </c>
      <c r="D74" s="51"/>
      <c r="E74" s="51"/>
      <c r="F74" s="51">
        <f t="shared" ref="F74:G74" si="45">D73*$C74</f>
        <v>1.32</v>
      </c>
      <c r="G74" s="51">
        <f t="shared" si="45"/>
        <v>2.86</v>
      </c>
      <c r="H74" s="51">
        <f t="shared" ref="H74:AD74" si="46">F73*$C74+F74*$C74</f>
        <v>4.6904000000000003</v>
      </c>
      <c r="I74" s="51">
        <f t="shared" si="46"/>
        <v>7.8891999999999998</v>
      </c>
      <c r="J74" s="51">
        <f t="shared" si="46"/>
        <v>8.2918880000000001</v>
      </c>
      <c r="K74" s="51">
        <f t="shared" si="46"/>
        <v>13.175623999999999</v>
      </c>
      <c r="L74" s="51">
        <f t="shared" si="46"/>
        <v>11.944215359999999</v>
      </c>
      <c r="M74" s="51">
        <f t="shared" si="46"/>
        <v>11.478637280000001</v>
      </c>
      <c r="N74" s="51">
        <f t="shared" si="46"/>
        <v>9.8877273791999993</v>
      </c>
      <c r="O74" s="51">
        <f t="shared" si="46"/>
        <v>9.7853002016000001</v>
      </c>
      <c r="P74" s="51">
        <f t="shared" si="46"/>
        <v>10.755300023424001</v>
      </c>
      <c r="Q74" s="51">
        <f t="shared" si="46"/>
        <v>13.592766044352</v>
      </c>
      <c r="R74" s="51">
        <f t="shared" si="46"/>
        <v>16.666166005153279</v>
      </c>
      <c r="S74" s="51">
        <f t="shared" si="46"/>
        <v>20.150408529757442</v>
      </c>
      <c r="T74" s="51">
        <f t="shared" si="46"/>
        <v>26.54655652113372</v>
      </c>
      <c r="U74" s="51">
        <f t="shared" si="46"/>
        <v>25.993089876546634</v>
      </c>
      <c r="V74" s="51">
        <f t="shared" si="46"/>
        <v>31.800242434649419</v>
      </c>
      <c r="W74" s="51">
        <f t="shared" si="46"/>
        <v>34.538479772840262</v>
      </c>
      <c r="X74" s="51">
        <f t="shared" si="46"/>
        <v>29.876053335622871</v>
      </c>
      <c r="Y74" s="51">
        <f t="shared" si="46"/>
        <v>27.618465550024858</v>
      </c>
      <c r="Z74" s="51">
        <f t="shared" si="46"/>
        <v>22.412731733837031</v>
      </c>
      <c r="AA74" s="51">
        <f t="shared" si="46"/>
        <v>21.916062421005471</v>
      </c>
      <c r="AB74" s="51">
        <f t="shared" si="46"/>
        <v>22.090800981444147</v>
      </c>
      <c r="AC74" s="51">
        <f t="shared" si="46"/>
        <v>33.641533732621205</v>
      </c>
      <c r="AD74" s="51">
        <f t="shared" si="46"/>
        <v>36.319976215917713</v>
      </c>
      <c r="AE74" s="10"/>
      <c r="AF74" s="10"/>
      <c r="AG74" s="10"/>
      <c r="AH74" s="10"/>
      <c r="AI74" s="10"/>
      <c r="AJ74" s="10"/>
      <c r="AK74" s="10"/>
      <c r="AL74" s="10"/>
      <c r="AM74" s="10"/>
    </row>
    <row r="75" spans="1:39" ht="15.75" hidden="1" customHeight="1" outlineLevel="1" x14ac:dyDescent="0.2">
      <c r="A75" s="16"/>
      <c r="B75" s="49" t="s">
        <v>43</v>
      </c>
      <c r="C75" s="57"/>
      <c r="D75" s="51">
        <f t="shared" ref="D75:AD75" si="47">D73+D74</f>
        <v>6</v>
      </c>
      <c r="E75" s="51">
        <f t="shared" si="47"/>
        <v>13</v>
      </c>
      <c r="F75" s="51">
        <f t="shared" si="47"/>
        <v>21.32</v>
      </c>
      <c r="G75" s="51">
        <f t="shared" si="47"/>
        <v>35.86</v>
      </c>
      <c r="H75" s="51">
        <f t="shared" si="47"/>
        <v>37.690399999999997</v>
      </c>
      <c r="I75" s="51">
        <f t="shared" si="47"/>
        <v>59.889200000000002</v>
      </c>
      <c r="J75" s="51">
        <f t="shared" si="47"/>
        <v>54.291888</v>
      </c>
      <c r="K75" s="51">
        <f t="shared" si="47"/>
        <v>52.175623999999999</v>
      </c>
      <c r="L75" s="51">
        <f t="shared" si="47"/>
        <v>44.944215360000001</v>
      </c>
      <c r="M75" s="51">
        <f t="shared" si="47"/>
        <v>44.478637280000001</v>
      </c>
      <c r="N75" s="51">
        <f t="shared" si="47"/>
        <v>48.887727379200001</v>
      </c>
      <c r="O75" s="51">
        <f t="shared" si="47"/>
        <v>61.785300201600002</v>
      </c>
      <c r="P75" s="51">
        <f t="shared" si="47"/>
        <v>75.755300023423999</v>
      </c>
      <c r="Q75" s="51">
        <f t="shared" si="47"/>
        <v>91.592766044352004</v>
      </c>
      <c r="R75" s="51">
        <f t="shared" si="47"/>
        <v>120.66616600515329</v>
      </c>
      <c r="S75" s="51">
        <f t="shared" si="47"/>
        <v>118.15040852975744</v>
      </c>
      <c r="T75" s="51">
        <f t="shared" si="47"/>
        <v>144.54655652113371</v>
      </c>
      <c r="U75" s="51">
        <f t="shared" si="47"/>
        <v>156.99308987654663</v>
      </c>
      <c r="V75" s="51">
        <f t="shared" si="47"/>
        <v>135.80024243464942</v>
      </c>
      <c r="W75" s="51">
        <f t="shared" si="47"/>
        <v>125.53847977284026</v>
      </c>
      <c r="X75" s="51">
        <f t="shared" si="47"/>
        <v>101.87605333562287</v>
      </c>
      <c r="Y75" s="51">
        <f t="shared" si="47"/>
        <v>99.618465550024865</v>
      </c>
      <c r="Z75" s="51">
        <f t="shared" si="47"/>
        <v>100.41273173383703</v>
      </c>
      <c r="AA75" s="51">
        <f t="shared" si="47"/>
        <v>152.91606242100548</v>
      </c>
      <c r="AB75" s="51">
        <f t="shared" si="47"/>
        <v>165.09080098144415</v>
      </c>
      <c r="AC75" s="51">
        <f t="shared" si="47"/>
        <v>196.64153373262121</v>
      </c>
      <c r="AD75" s="51">
        <f t="shared" si="47"/>
        <v>232.31997621591771</v>
      </c>
      <c r="AE75" s="10"/>
      <c r="AF75" s="10"/>
      <c r="AG75" s="10"/>
      <c r="AH75" s="10"/>
      <c r="AI75" s="10"/>
      <c r="AJ75" s="10"/>
      <c r="AK75" s="10"/>
      <c r="AL75" s="10"/>
      <c r="AM75" s="10"/>
    </row>
    <row r="76" spans="1:39" ht="15.75" hidden="1" customHeight="1" outlineLevel="1" x14ac:dyDescent="0.2">
      <c r="A76" s="16"/>
      <c r="B76" s="53" t="s">
        <v>44</v>
      </c>
      <c r="C76" s="58">
        <v>2040</v>
      </c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  <c r="AA76" s="51"/>
      <c r="AB76" s="51"/>
      <c r="AC76" s="51"/>
      <c r="AD76" s="51"/>
      <c r="AE76" s="10"/>
      <c r="AF76" s="10"/>
      <c r="AG76" s="10"/>
      <c r="AH76" s="10"/>
      <c r="AI76" s="10"/>
      <c r="AJ76" s="10"/>
      <c r="AK76" s="10"/>
      <c r="AL76" s="10"/>
      <c r="AM76" s="10"/>
    </row>
    <row r="77" spans="1:39" ht="15.75" customHeight="1" collapsed="1" x14ac:dyDescent="0.2">
      <c r="A77" s="59"/>
      <c r="B77" s="43" t="s">
        <v>440</v>
      </c>
      <c r="C77" s="44" t="s">
        <v>31</v>
      </c>
      <c r="D77" s="60">
        <f t="shared" ref="D77:AD77" si="48">D87*$C88</f>
        <v>25200</v>
      </c>
      <c r="E77" s="60">
        <f t="shared" si="48"/>
        <v>54600</v>
      </c>
      <c r="F77" s="60">
        <f t="shared" si="48"/>
        <v>89544</v>
      </c>
      <c r="G77" s="60">
        <f t="shared" si="48"/>
        <v>150612</v>
      </c>
      <c r="H77" s="60">
        <f t="shared" si="48"/>
        <v>158299.68</v>
      </c>
      <c r="I77" s="60">
        <f t="shared" si="48"/>
        <v>251534.64</v>
      </c>
      <c r="J77" s="60">
        <f t="shared" si="48"/>
        <v>228025.9296</v>
      </c>
      <c r="K77" s="60">
        <f t="shared" si="48"/>
        <v>219137.6208</v>
      </c>
      <c r="L77" s="60">
        <f t="shared" si="48"/>
        <v>188765.704512</v>
      </c>
      <c r="M77" s="60">
        <f t="shared" si="48"/>
        <v>186810.276576</v>
      </c>
      <c r="N77" s="60">
        <f t="shared" si="48"/>
        <v>205328.45499264001</v>
      </c>
      <c r="O77" s="60">
        <f t="shared" si="48"/>
        <v>259498.26084672002</v>
      </c>
      <c r="P77" s="60">
        <f t="shared" si="48"/>
        <v>318172.26009838079</v>
      </c>
      <c r="Q77" s="60">
        <f t="shared" si="48"/>
        <v>384689.61738627841</v>
      </c>
      <c r="R77" s="60">
        <f t="shared" si="48"/>
        <v>506797.89722164383</v>
      </c>
      <c r="S77" s="60">
        <f t="shared" si="48"/>
        <v>496231.71582498128</v>
      </c>
      <c r="T77" s="60">
        <f t="shared" si="48"/>
        <v>607095.53738876153</v>
      </c>
      <c r="U77" s="60">
        <f t="shared" si="48"/>
        <v>659370.97748149582</v>
      </c>
      <c r="V77" s="60">
        <f t="shared" si="48"/>
        <v>570361.0182255276</v>
      </c>
      <c r="W77" s="60">
        <f t="shared" si="48"/>
        <v>527261.61504592909</v>
      </c>
      <c r="X77" s="60">
        <f t="shared" si="48"/>
        <v>427879.42400961608</v>
      </c>
      <c r="Y77" s="60">
        <f t="shared" si="48"/>
        <v>418397.55531010445</v>
      </c>
      <c r="Z77" s="60">
        <f t="shared" si="48"/>
        <v>421733.47328211553</v>
      </c>
      <c r="AA77" s="60">
        <f t="shared" si="48"/>
        <v>642247.46216822299</v>
      </c>
      <c r="AB77" s="60">
        <f t="shared" si="48"/>
        <v>693381.36412206537</v>
      </c>
      <c r="AC77" s="60">
        <f t="shared" si="48"/>
        <v>825894.4416770091</v>
      </c>
      <c r="AD77" s="60">
        <f t="shared" si="48"/>
        <v>975743.90010685439</v>
      </c>
      <c r="AE77" s="10"/>
      <c r="AF77" s="10"/>
      <c r="AG77" s="10"/>
      <c r="AH77" s="10"/>
      <c r="AI77" s="10"/>
      <c r="AJ77" s="10"/>
      <c r="AK77" s="10"/>
      <c r="AL77" s="10"/>
      <c r="AM77" s="10"/>
    </row>
    <row r="78" spans="1:39" ht="16.5" hidden="1" customHeight="1" outlineLevel="1" x14ac:dyDescent="0.2">
      <c r="A78" s="16"/>
      <c r="B78" s="46" t="s">
        <v>33</v>
      </c>
      <c r="C78" s="7" t="s">
        <v>34</v>
      </c>
      <c r="D78" s="47">
        <v>0.1</v>
      </c>
      <c r="E78" s="47">
        <v>0.2</v>
      </c>
      <c r="F78" s="47">
        <v>0.3</v>
      </c>
      <c r="G78" s="47">
        <v>0.5</v>
      </c>
      <c r="H78" s="47">
        <v>0.5</v>
      </c>
      <c r="I78" s="47">
        <v>0.8</v>
      </c>
      <c r="J78" s="47">
        <v>0.7</v>
      </c>
      <c r="K78" s="47">
        <v>0.6</v>
      </c>
      <c r="L78" s="47">
        <v>0.5</v>
      </c>
      <c r="M78" s="47">
        <v>0.5</v>
      </c>
      <c r="N78" s="47">
        <v>0.6</v>
      </c>
      <c r="O78" s="47">
        <v>0.8</v>
      </c>
      <c r="P78" s="47">
        <v>1</v>
      </c>
      <c r="Q78" s="47">
        <v>1.2</v>
      </c>
      <c r="R78" s="47">
        <v>1.6</v>
      </c>
      <c r="S78" s="47">
        <v>1.5</v>
      </c>
      <c r="T78" s="47">
        <v>1.8</v>
      </c>
      <c r="U78" s="47">
        <v>2</v>
      </c>
      <c r="V78" s="47">
        <v>1.6</v>
      </c>
      <c r="W78" s="47">
        <v>1.4</v>
      </c>
      <c r="X78" s="47">
        <v>1.1000000000000001</v>
      </c>
      <c r="Y78" s="47">
        <v>1.1000000000000001</v>
      </c>
      <c r="Z78" s="47">
        <v>1.2</v>
      </c>
      <c r="AA78" s="47">
        <v>2</v>
      </c>
      <c r="AB78" s="47">
        <v>2.2000000000000002</v>
      </c>
      <c r="AC78" s="47">
        <v>2.5</v>
      </c>
      <c r="AD78" s="47">
        <v>3</v>
      </c>
      <c r="AE78" s="10"/>
      <c r="AF78" s="10"/>
      <c r="AG78" s="10"/>
      <c r="AH78" s="10"/>
      <c r="AI78" s="10"/>
      <c r="AJ78" s="10"/>
      <c r="AK78" s="10"/>
      <c r="AL78" s="10"/>
      <c r="AM78" s="10"/>
    </row>
    <row r="79" spans="1:39" ht="15.75" hidden="1" customHeight="1" outlineLevel="1" x14ac:dyDescent="0.2">
      <c r="A79" s="48"/>
      <c r="B79" s="49" t="s">
        <v>35</v>
      </c>
      <c r="C79" s="50">
        <v>10000</v>
      </c>
      <c r="D79" s="51">
        <f t="shared" ref="D79:AD79" si="49">ROUND(D78*$C79,0)</f>
        <v>1000</v>
      </c>
      <c r="E79" s="51">
        <f t="shared" si="49"/>
        <v>2000</v>
      </c>
      <c r="F79" s="51">
        <f t="shared" si="49"/>
        <v>3000</v>
      </c>
      <c r="G79" s="51">
        <f t="shared" si="49"/>
        <v>5000</v>
      </c>
      <c r="H79" s="51">
        <f t="shared" si="49"/>
        <v>5000</v>
      </c>
      <c r="I79" s="51">
        <f t="shared" si="49"/>
        <v>8000</v>
      </c>
      <c r="J79" s="51">
        <f t="shared" si="49"/>
        <v>7000</v>
      </c>
      <c r="K79" s="51">
        <f t="shared" si="49"/>
        <v>6000</v>
      </c>
      <c r="L79" s="51">
        <f t="shared" si="49"/>
        <v>5000</v>
      </c>
      <c r="M79" s="51">
        <f t="shared" si="49"/>
        <v>5000</v>
      </c>
      <c r="N79" s="51">
        <f t="shared" si="49"/>
        <v>6000</v>
      </c>
      <c r="O79" s="51">
        <f t="shared" si="49"/>
        <v>8000</v>
      </c>
      <c r="P79" s="51">
        <f t="shared" si="49"/>
        <v>10000</v>
      </c>
      <c r="Q79" s="51">
        <f t="shared" si="49"/>
        <v>12000</v>
      </c>
      <c r="R79" s="51">
        <f t="shared" si="49"/>
        <v>16000</v>
      </c>
      <c r="S79" s="51">
        <f t="shared" si="49"/>
        <v>15000</v>
      </c>
      <c r="T79" s="51">
        <f t="shared" si="49"/>
        <v>18000</v>
      </c>
      <c r="U79" s="51">
        <f t="shared" si="49"/>
        <v>20000</v>
      </c>
      <c r="V79" s="51">
        <f t="shared" si="49"/>
        <v>16000</v>
      </c>
      <c r="W79" s="51">
        <f t="shared" si="49"/>
        <v>14000</v>
      </c>
      <c r="X79" s="51">
        <f t="shared" si="49"/>
        <v>11000</v>
      </c>
      <c r="Y79" s="51">
        <f t="shared" si="49"/>
        <v>11000</v>
      </c>
      <c r="Z79" s="51">
        <f t="shared" si="49"/>
        <v>12000</v>
      </c>
      <c r="AA79" s="51">
        <f t="shared" si="49"/>
        <v>20000</v>
      </c>
      <c r="AB79" s="51">
        <f t="shared" si="49"/>
        <v>22000</v>
      </c>
      <c r="AC79" s="51">
        <f t="shared" si="49"/>
        <v>25000</v>
      </c>
      <c r="AD79" s="51">
        <f t="shared" si="49"/>
        <v>30000</v>
      </c>
      <c r="AE79" s="10"/>
      <c r="AF79" s="10"/>
      <c r="AG79" s="10"/>
      <c r="AH79" s="10"/>
      <c r="AI79" s="10"/>
      <c r="AJ79" s="10"/>
      <c r="AK79" s="10"/>
      <c r="AL79" s="10"/>
      <c r="AM79" s="10"/>
    </row>
    <row r="80" spans="1:39" ht="15.75" hidden="1" customHeight="1" outlineLevel="1" x14ac:dyDescent="0.2">
      <c r="A80" s="48"/>
      <c r="B80" s="49" t="s">
        <v>36</v>
      </c>
      <c r="C80" s="52">
        <v>0.12</v>
      </c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10"/>
      <c r="AF80" s="10"/>
      <c r="AG80" s="10"/>
      <c r="AH80" s="10"/>
      <c r="AI80" s="10"/>
      <c r="AJ80" s="10"/>
      <c r="AK80" s="10"/>
      <c r="AL80" s="10"/>
      <c r="AM80" s="10"/>
    </row>
    <row r="81" spans="1:39" ht="15.75" hidden="1" customHeight="1" outlineLevel="1" x14ac:dyDescent="0.2">
      <c r="A81" s="48"/>
      <c r="B81" s="53" t="s">
        <v>37</v>
      </c>
      <c r="C81" s="54"/>
      <c r="D81" s="51">
        <f t="shared" ref="D81:AD81" si="50">ROUND(D79*$C80,0)</f>
        <v>120</v>
      </c>
      <c r="E81" s="51">
        <f t="shared" si="50"/>
        <v>240</v>
      </c>
      <c r="F81" s="51">
        <f t="shared" si="50"/>
        <v>360</v>
      </c>
      <c r="G81" s="51">
        <f t="shared" si="50"/>
        <v>600</v>
      </c>
      <c r="H81" s="51">
        <f t="shared" si="50"/>
        <v>600</v>
      </c>
      <c r="I81" s="51">
        <f t="shared" si="50"/>
        <v>960</v>
      </c>
      <c r="J81" s="51">
        <f t="shared" si="50"/>
        <v>840</v>
      </c>
      <c r="K81" s="51">
        <f t="shared" si="50"/>
        <v>720</v>
      </c>
      <c r="L81" s="51">
        <f t="shared" si="50"/>
        <v>600</v>
      </c>
      <c r="M81" s="51">
        <f t="shared" si="50"/>
        <v>600</v>
      </c>
      <c r="N81" s="51">
        <f t="shared" si="50"/>
        <v>720</v>
      </c>
      <c r="O81" s="51">
        <f t="shared" si="50"/>
        <v>960</v>
      </c>
      <c r="P81" s="51">
        <f t="shared" si="50"/>
        <v>1200</v>
      </c>
      <c r="Q81" s="51">
        <f t="shared" si="50"/>
        <v>1440</v>
      </c>
      <c r="R81" s="51">
        <f t="shared" si="50"/>
        <v>1920</v>
      </c>
      <c r="S81" s="51">
        <f t="shared" si="50"/>
        <v>1800</v>
      </c>
      <c r="T81" s="51">
        <f t="shared" si="50"/>
        <v>2160</v>
      </c>
      <c r="U81" s="51">
        <f t="shared" si="50"/>
        <v>2400</v>
      </c>
      <c r="V81" s="51">
        <f t="shared" si="50"/>
        <v>1920</v>
      </c>
      <c r="W81" s="51">
        <f t="shared" si="50"/>
        <v>1680</v>
      </c>
      <c r="X81" s="51">
        <f t="shared" si="50"/>
        <v>1320</v>
      </c>
      <c r="Y81" s="51">
        <f t="shared" si="50"/>
        <v>1320</v>
      </c>
      <c r="Z81" s="51">
        <f t="shared" si="50"/>
        <v>1440</v>
      </c>
      <c r="AA81" s="51">
        <f t="shared" si="50"/>
        <v>2400</v>
      </c>
      <c r="AB81" s="51">
        <f t="shared" si="50"/>
        <v>2640</v>
      </c>
      <c r="AC81" s="51">
        <f t="shared" si="50"/>
        <v>3000</v>
      </c>
      <c r="AD81" s="51">
        <f t="shared" si="50"/>
        <v>3600</v>
      </c>
      <c r="AE81" s="10"/>
      <c r="AF81" s="10"/>
      <c r="AG81" s="10"/>
      <c r="AH81" s="10"/>
      <c r="AI81" s="10"/>
      <c r="AJ81" s="10"/>
      <c r="AK81" s="10"/>
      <c r="AL81" s="10"/>
      <c r="AM81" s="10"/>
    </row>
    <row r="82" spans="1:39" ht="15.75" hidden="1" customHeight="1" outlineLevel="1" x14ac:dyDescent="0.2">
      <c r="A82" s="16"/>
      <c r="B82" s="49" t="s">
        <v>38</v>
      </c>
      <c r="C82" s="55">
        <v>0.16</v>
      </c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10"/>
      <c r="AF82" s="10"/>
      <c r="AG82" s="10"/>
      <c r="AH82" s="10"/>
      <c r="AI82" s="10"/>
      <c r="AJ82" s="10"/>
      <c r="AK82" s="10"/>
      <c r="AL82" s="10"/>
      <c r="AM82" s="10"/>
    </row>
    <row r="83" spans="1:39" ht="15.75" hidden="1" customHeight="1" outlineLevel="1" x14ac:dyDescent="0.2">
      <c r="A83" s="48"/>
      <c r="B83" s="53" t="s">
        <v>39</v>
      </c>
      <c r="C83" s="56"/>
      <c r="D83" s="51">
        <f t="shared" ref="D83:AD83" si="51">ROUND(D81*$C82,0)</f>
        <v>19</v>
      </c>
      <c r="E83" s="51">
        <f t="shared" si="51"/>
        <v>38</v>
      </c>
      <c r="F83" s="51">
        <f t="shared" si="51"/>
        <v>58</v>
      </c>
      <c r="G83" s="51">
        <f t="shared" si="51"/>
        <v>96</v>
      </c>
      <c r="H83" s="51">
        <f t="shared" si="51"/>
        <v>96</v>
      </c>
      <c r="I83" s="51">
        <f t="shared" si="51"/>
        <v>154</v>
      </c>
      <c r="J83" s="51">
        <f t="shared" si="51"/>
        <v>134</v>
      </c>
      <c r="K83" s="51">
        <f t="shared" si="51"/>
        <v>115</v>
      </c>
      <c r="L83" s="51">
        <f t="shared" si="51"/>
        <v>96</v>
      </c>
      <c r="M83" s="51">
        <f t="shared" si="51"/>
        <v>96</v>
      </c>
      <c r="N83" s="51">
        <f t="shared" si="51"/>
        <v>115</v>
      </c>
      <c r="O83" s="51">
        <f t="shared" si="51"/>
        <v>154</v>
      </c>
      <c r="P83" s="51">
        <f t="shared" si="51"/>
        <v>192</v>
      </c>
      <c r="Q83" s="51">
        <f t="shared" si="51"/>
        <v>230</v>
      </c>
      <c r="R83" s="51">
        <f t="shared" si="51"/>
        <v>307</v>
      </c>
      <c r="S83" s="51">
        <f t="shared" si="51"/>
        <v>288</v>
      </c>
      <c r="T83" s="51">
        <f t="shared" si="51"/>
        <v>346</v>
      </c>
      <c r="U83" s="51">
        <f t="shared" si="51"/>
        <v>384</v>
      </c>
      <c r="V83" s="51">
        <f t="shared" si="51"/>
        <v>307</v>
      </c>
      <c r="W83" s="51">
        <f t="shared" si="51"/>
        <v>269</v>
      </c>
      <c r="X83" s="51">
        <f t="shared" si="51"/>
        <v>211</v>
      </c>
      <c r="Y83" s="51">
        <f t="shared" si="51"/>
        <v>211</v>
      </c>
      <c r="Z83" s="51">
        <f t="shared" si="51"/>
        <v>230</v>
      </c>
      <c r="AA83" s="51">
        <f t="shared" si="51"/>
        <v>384</v>
      </c>
      <c r="AB83" s="51">
        <f t="shared" si="51"/>
        <v>422</v>
      </c>
      <c r="AC83" s="51">
        <f t="shared" si="51"/>
        <v>480</v>
      </c>
      <c r="AD83" s="51">
        <f t="shared" si="51"/>
        <v>576</v>
      </c>
      <c r="AE83" s="10"/>
      <c r="AF83" s="10"/>
      <c r="AG83" s="10"/>
      <c r="AH83" s="10"/>
      <c r="AI83" s="10"/>
      <c r="AJ83" s="10"/>
      <c r="AK83" s="10"/>
      <c r="AL83" s="10"/>
      <c r="AM83" s="10"/>
    </row>
    <row r="84" spans="1:39" ht="15.75" hidden="1" customHeight="1" outlineLevel="1" x14ac:dyDescent="0.2">
      <c r="A84" s="16"/>
      <c r="B84" s="49" t="s">
        <v>40</v>
      </c>
      <c r="C84" s="55">
        <v>0.34</v>
      </c>
      <c r="D84" s="51"/>
      <c r="E84" s="51"/>
      <c r="F84" s="51"/>
      <c r="G84" s="51"/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  <c r="AA84" s="51"/>
      <c r="AB84" s="51"/>
      <c r="AC84" s="51"/>
      <c r="AD84" s="51"/>
      <c r="AE84" s="10"/>
      <c r="AF84" s="10"/>
      <c r="AG84" s="10"/>
      <c r="AH84" s="10"/>
      <c r="AI84" s="10"/>
      <c r="AJ84" s="10"/>
      <c r="AK84" s="10"/>
      <c r="AL84" s="10"/>
      <c r="AM84" s="10"/>
    </row>
    <row r="85" spans="1:39" ht="15.75" hidden="1" customHeight="1" outlineLevel="1" x14ac:dyDescent="0.2">
      <c r="A85" s="16"/>
      <c r="B85" s="53" t="s">
        <v>41</v>
      </c>
      <c r="C85" s="56"/>
      <c r="D85" s="51">
        <f t="shared" ref="D85:AD85" si="52">ROUND(D83*$C84,0)</f>
        <v>6</v>
      </c>
      <c r="E85" s="51">
        <f t="shared" si="52"/>
        <v>13</v>
      </c>
      <c r="F85" s="51">
        <f t="shared" si="52"/>
        <v>20</v>
      </c>
      <c r="G85" s="51">
        <f t="shared" si="52"/>
        <v>33</v>
      </c>
      <c r="H85" s="51">
        <f t="shared" si="52"/>
        <v>33</v>
      </c>
      <c r="I85" s="51">
        <f t="shared" si="52"/>
        <v>52</v>
      </c>
      <c r="J85" s="51">
        <f t="shared" si="52"/>
        <v>46</v>
      </c>
      <c r="K85" s="51">
        <f t="shared" si="52"/>
        <v>39</v>
      </c>
      <c r="L85" s="51">
        <f t="shared" si="52"/>
        <v>33</v>
      </c>
      <c r="M85" s="51">
        <f t="shared" si="52"/>
        <v>33</v>
      </c>
      <c r="N85" s="51">
        <f t="shared" si="52"/>
        <v>39</v>
      </c>
      <c r="O85" s="51">
        <f t="shared" si="52"/>
        <v>52</v>
      </c>
      <c r="P85" s="51">
        <f t="shared" si="52"/>
        <v>65</v>
      </c>
      <c r="Q85" s="51">
        <f t="shared" si="52"/>
        <v>78</v>
      </c>
      <c r="R85" s="51">
        <f t="shared" si="52"/>
        <v>104</v>
      </c>
      <c r="S85" s="51">
        <f t="shared" si="52"/>
        <v>98</v>
      </c>
      <c r="T85" s="51">
        <f t="shared" si="52"/>
        <v>118</v>
      </c>
      <c r="U85" s="51">
        <f t="shared" si="52"/>
        <v>131</v>
      </c>
      <c r="V85" s="51">
        <f t="shared" si="52"/>
        <v>104</v>
      </c>
      <c r="W85" s="51">
        <f t="shared" si="52"/>
        <v>91</v>
      </c>
      <c r="X85" s="51">
        <f t="shared" si="52"/>
        <v>72</v>
      </c>
      <c r="Y85" s="51">
        <f t="shared" si="52"/>
        <v>72</v>
      </c>
      <c r="Z85" s="51">
        <f t="shared" si="52"/>
        <v>78</v>
      </c>
      <c r="AA85" s="51">
        <f t="shared" si="52"/>
        <v>131</v>
      </c>
      <c r="AB85" s="51">
        <f t="shared" si="52"/>
        <v>143</v>
      </c>
      <c r="AC85" s="51">
        <f t="shared" si="52"/>
        <v>163</v>
      </c>
      <c r="AD85" s="51">
        <f t="shared" si="52"/>
        <v>196</v>
      </c>
      <c r="AE85" s="10"/>
      <c r="AF85" s="10"/>
      <c r="AG85" s="10"/>
      <c r="AH85" s="10"/>
      <c r="AI85" s="10"/>
      <c r="AJ85" s="10"/>
      <c r="AK85" s="10"/>
      <c r="AL85" s="10"/>
      <c r="AM85" s="10"/>
    </row>
    <row r="86" spans="1:39" ht="15.75" hidden="1" customHeight="1" outlineLevel="1" x14ac:dyDescent="0.2">
      <c r="A86" s="16"/>
      <c r="B86" s="49" t="s">
        <v>42</v>
      </c>
      <c r="C86" s="52">
        <v>0.22</v>
      </c>
      <c r="D86" s="51"/>
      <c r="E86" s="51"/>
      <c r="F86" s="51">
        <f t="shared" ref="F86:G86" si="53">D85*$C86</f>
        <v>1.32</v>
      </c>
      <c r="G86" s="51">
        <f t="shared" si="53"/>
        <v>2.86</v>
      </c>
      <c r="H86" s="51">
        <f t="shared" ref="H86:AD86" si="54">F85*$C86+F86*$C86</f>
        <v>4.6904000000000003</v>
      </c>
      <c r="I86" s="51">
        <f t="shared" si="54"/>
        <v>7.8891999999999998</v>
      </c>
      <c r="J86" s="51">
        <f t="shared" si="54"/>
        <v>8.2918880000000001</v>
      </c>
      <c r="K86" s="51">
        <f t="shared" si="54"/>
        <v>13.175623999999999</v>
      </c>
      <c r="L86" s="51">
        <f t="shared" si="54"/>
        <v>11.944215359999999</v>
      </c>
      <c r="M86" s="51">
        <f t="shared" si="54"/>
        <v>11.478637280000001</v>
      </c>
      <c r="N86" s="51">
        <f t="shared" si="54"/>
        <v>9.8877273791999993</v>
      </c>
      <c r="O86" s="51">
        <f t="shared" si="54"/>
        <v>9.7853002016000001</v>
      </c>
      <c r="P86" s="51">
        <f t="shared" si="54"/>
        <v>10.755300023424001</v>
      </c>
      <c r="Q86" s="51">
        <f t="shared" si="54"/>
        <v>13.592766044352</v>
      </c>
      <c r="R86" s="51">
        <f t="shared" si="54"/>
        <v>16.666166005153279</v>
      </c>
      <c r="S86" s="51">
        <f t="shared" si="54"/>
        <v>20.150408529757442</v>
      </c>
      <c r="T86" s="51">
        <f t="shared" si="54"/>
        <v>26.54655652113372</v>
      </c>
      <c r="U86" s="51">
        <f t="shared" si="54"/>
        <v>25.993089876546634</v>
      </c>
      <c r="V86" s="51">
        <f t="shared" si="54"/>
        <v>31.800242434649419</v>
      </c>
      <c r="W86" s="51">
        <f t="shared" si="54"/>
        <v>34.538479772840262</v>
      </c>
      <c r="X86" s="51">
        <f t="shared" si="54"/>
        <v>29.876053335622871</v>
      </c>
      <c r="Y86" s="51">
        <f t="shared" si="54"/>
        <v>27.618465550024858</v>
      </c>
      <c r="Z86" s="51">
        <f t="shared" si="54"/>
        <v>22.412731733837031</v>
      </c>
      <c r="AA86" s="51">
        <f t="shared" si="54"/>
        <v>21.916062421005471</v>
      </c>
      <c r="AB86" s="51">
        <f t="shared" si="54"/>
        <v>22.090800981444147</v>
      </c>
      <c r="AC86" s="51">
        <f t="shared" si="54"/>
        <v>33.641533732621205</v>
      </c>
      <c r="AD86" s="51">
        <f t="shared" si="54"/>
        <v>36.319976215917713</v>
      </c>
      <c r="AE86" s="10"/>
      <c r="AF86" s="10"/>
      <c r="AG86" s="10"/>
      <c r="AH86" s="10"/>
      <c r="AI86" s="10"/>
      <c r="AJ86" s="10"/>
      <c r="AK86" s="10"/>
      <c r="AL86" s="10"/>
      <c r="AM86" s="10"/>
    </row>
    <row r="87" spans="1:39" ht="15.75" hidden="1" customHeight="1" outlineLevel="1" x14ac:dyDescent="0.2">
      <c r="A87" s="16"/>
      <c r="B87" s="49" t="s">
        <v>43</v>
      </c>
      <c r="C87" s="57"/>
      <c r="D87" s="51">
        <f t="shared" ref="D87:AD87" si="55">D85+D86</f>
        <v>6</v>
      </c>
      <c r="E87" s="51">
        <f t="shared" si="55"/>
        <v>13</v>
      </c>
      <c r="F87" s="51">
        <f t="shared" si="55"/>
        <v>21.32</v>
      </c>
      <c r="G87" s="51">
        <f t="shared" si="55"/>
        <v>35.86</v>
      </c>
      <c r="H87" s="51">
        <f t="shared" si="55"/>
        <v>37.690399999999997</v>
      </c>
      <c r="I87" s="51">
        <f t="shared" si="55"/>
        <v>59.889200000000002</v>
      </c>
      <c r="J87" s="51">
        <f t="shared" si="55"/>
        <v>54.291888</v>
      </c>
      <c r="K87" s="51">
        <f t="shared" si="55"/>
        <v>52.175623999999999</v>
      </c>
      <c r="L87" s="51">
        <f t="shared" si="55"/>
        <v>44.944215360000001</v>
      </c>
      <c r="M87" s="51">
        <f t="shared" si="55"/>
        <v>44.478637280000001</v>
      </c>
      <c r="N87" s="51">
        <f t="shared" si="55"/>
        <v>48.887727379200001</v>
      </c>
      <c r="O87" s="51">
        <f t="shared" si="55"/>
        <v>61.785300201600002</v>
      </c>
      <c r="P87" s="51">
        <f t="shared" si="55"/>
        <v>75.755300023423999</v>
      </c>
      <c r="Q87" s="51">
        <f t="shared" si="55"/>
        <v>91.592766044352004</v>
      </c>
      <c r="R87" s="51">
        <f t="shared" si="55"/>
        <v>120.66616600515329</v>
      </c>
      <c r="S87" s="51">
        <f t="shared" si="55"/>
        <v>118.15040852975744</v>
      </c>
      <c r="T87" s="51">
        <f t="shared" si="55"/>
        <v>144.54655652113371</v>
      </c>
      <c r="U87" s="51">
        <f t="shared" si="55"/>
        <v>156.99308987654663</v>
      </c>
      <c r="V87" s="51">
        <f t="shared" si="55"/>
        <v>135.80024243464942</v>
      </c>
      <c r="W87" s="51">
        <f t="shared" si="55"/>
        <v>125.53847977284026</v>
      </c>
      <c r="X87" s="51">
        <f t="shared" si="55"/>
        <v>101.87605333562287</v>
      </c>
      <c r="Y87" s="51">
        <f t="shared" si="55"/>
        <v>99.618465550024865</v>
      </c>
      <c r="Z87" s="51">
        <f t="shared" si="55"/>
        <v>100.41273173383703</v>
      </c>
      <c r="AA87" s="51">
        <f t="shared" si="55"/>
        <v>152.91606242100548</v>
      </c>
      <c r="AB87" s="51">
        <f t="shared" si="55"/>
        <v>165.09080098144415</v>
      </c>
      <c r="AC87" s="51">
        <f t="shared" si="55"/>
        <v>196.64153373262121</v>
      </c>
      <c r="AD87" s="51">
        <f t="shared" si="55"/>
        <v>232.31997621591771</v>
      </c>
      <c r="AE87" s="10"/>
      <c r="AF87" s="10"/>
      <c r="AG87" s="10"/>
      <c r="AH87" s="10"/>
      <c r="AI87" s="10"/>
      <c r="AJ87" s="10"/>
      <c r="AK87" s="10"/>
      <c r="AL87" s="10"/>
      <c r="AM87" s="10"/>
    </row>
    <row r="88" spans="1:39" ht="15.75" hidden="1" customHeight="1" outlineLevel="1" x14ac:dyDescent="0.2">
      <c r="A88" s="16"/>
      <c r="B88" s="53" t="s">
        <v>44</v>
      </c>
      <c r="C88" s="58">
        <v>4200</v>
      </c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  <c r="AA88" s="51"/>
      <c r="AB88" s="51"/>
      <c r="AC88" s="51"/>
      <c r="AD88" s="51"/>
      <c r="AE88" s="10"/>
      <c r="AF88" s="10"/>
      <c r="AG88" s="10"/>
      <c r="AH88" s="10"/>
      <c r="AI88" s="10"/>
      <c r="AJ88" s="10"/>
      <c r="AK88" s="10"/>
      <c r="AL88" s="10"/>
      <c r="AM88" s="10"/>
    </row>
    <row r="89" spans="1:39" ht="16.5" customHeight="1" x14ac:dyDescent="0.2">
      <c r="A89" s="40"/>
      <c r="B89" s="41" t="s">
        <v>46</v>
      </c>
      <c r="C89" s="41"/>
      <c r="D89" s="42">
        <f t="shared" ref="D89:AD89" si="56">D90+D100+D110+D120+D130+D140</f>
        <v>31520</v>
      </c>
      <c r="E89" s="42">
        <f t="shared" si="56"/>
        <v>63040</v>
      </c>
      <c r="F89" s="42">
        <f t="shared" si="56"/>
        <v>78800</v>
      </c>
      <c r="G89" s="42">
        <f t="shared" si="56"/>
        <v>141840</v>
      </c>
      <c r="H89" s="42">
        <f t="shared" si="56"/>
        <v>141840</v>
      </c>
      <c r="I89" s="42">
        <f t="shared" si="56"/>
        <v>220640</v>
      </c>
      <c r="J89" s="42">
        <f t="shared" si="56"/>
        <v>204880</v>
      </c>
      <c r="K89" s="42">
        <f t="shared" si="56"/>
        <v>173360</v>
      </c>
      <c r="L89" s="42">
        <f t="shared" si="56"/>
        <v>141840</v>
      </c>
      <c r="M89" s="42">
        <f t="shared" si="56"/>
        <v>141840</v>
      </c>
      <c r="N89" s="42">
        <f t="shared" si="56"/>
        <v>173360</v>
      </c>
      <c r="O89" s="42">
        <f t="shared" si="56"/>
        <v>220640</v>
      </c>
      <c r="P89" s="42">
        <f t="shared" si="56"/>
        <v>283680</v>
      </c>
      <c r="Q89" s="42">
        <f t="shared" si="56"/>
        <v>346720</v>
      </c>
      <c r="R89" s="42">
        <f t="shared" si="56"/>
        <v>457040</v>
      </c>
      <c r="S89" s="42">
        <f t="shared" si="56"/>
        <v>425520</v>
      </c>
      <c r="T89" s="42">
        <f t="shared" si="56"/>
        <v>504320</v>
      </c>
      <c r="U89" s="42">
        <f t="shared" si="56"/>
        <v>567360</v>
      </c>
      <c r="V89" s="42">
        <f t="shared" si="56"/>
        <v>457040</v>
      </c>
      <c r="W89" s="42">
        <f t="shared" si="56"/>
        <v>394000</v>
      </c>
      <c r="X89" s="42">
        <f t="shared" si="56"/>
        <v>315200</v>
      </c>
      <c r="Y89" s="42">
        <f t="shared" si="56"/>
        <v>315200</v>
      </c>
      <c r="Z89" s="42">
        <f t="shared" si="56"/>
        <v>346720</v>
      </c>
      <c r="AA89" s="42">
        <f t="shared" si="56"/>
        <v>567360</v>
      </c>
      <c r="AB89" s="42">
        <f t="shared" si="56"/>
        <v>630400</v>
      </c>
      <c r="AC89" s="42">
        <f t="shared" si="56"/>
        <v>709200</v>
      </c>
      <c r="AD89" s="42">
        <f t="shared" si="56"/>
        <v>851040</v>
      </c>
      <c r="AE89" s="10"/>
      <c r="AF89" s="10"/>
      <c r="AG89" s="10"/>
      <c r="AH89" s="10"/>
      <c r="AI89" s="10"/>
      <c r="AJ89" s="10"/>
      <c r="AK89" s="10"/>
      <c r="AL89" s="10"/>
      <c r="AM89" s="10"/>
    </row>
    <row r="90" spans="1:39" ht="16.5" customHeight="1" collapsed="1" x14ac:dyDescent="0.2">
      <c r="A90" s="59"/>
      <c r="B90" s="43" t="s">
        <v>432</v>
      </c>
      <c r="C90" s="44" t="s">
        <v>31</v>
      </c>
      <c r="D90" s="45">
        <f t="shared" ref="D90:AD90" si="57">$C99*D98</f>
        <v>4250</v>
      </c>
      <c r="E90" s="45">
        <f t="shared" si="57"/>
        <v>8500</v>
      </c>
      <c r="F90" s="45">
        <f t="shared" si="57"/>
        <v>10625</v>
      </c>
      <c r="G90" s="45">
        <f t="shared" si="57"/>
        <v>19125</v>
      </c>
      <c r="H90" s="45">
        <f t="shared" si="57"/>
        <v>19125</v>
      </c>
      <c r="I90" s="45">
        <f t="shared" si="57"/>
        <v>29750</v>
      </c>
      <c r="J90" s="45">
        <f t="shared" si="57"/>
        <v>27625</v>
      </c>
      <c r="K90" s="45">
        <f t="shared" si="57"/>
        <v>23375</v>
      </c>
      <c r="L90" s="45">
        <f t="shared" si="57"/>
        <v>19125</v>
      </c>
      <c r="M90" s="45">
        <f t="shared" si="57"/>
        <v>19125</v>
      </c>
      <c r="N90" s="45">
        <f t="shared" si="57"/>
        <v>23375</v>
      </c>
      <c r="O90" s="45">
        <f t="shared" si="57"/>
        <v>29750</v>
      </c>
      <c r="P90" s="45">
        <f t="shared" si="57"/>
        <v>38250</v>
      </c>
      <c r="Q90" s="45">
        <f t="shared" si="57"/>
        <v>46750</v>
      </c>
      <c r="R90" s="45">
        <f t="shared" si="57"/>
        <v>61625</v>
      </c>
      <c r="S90" s="45">
        <f t="shared" si="57"/>
        <v>57375</v>
      </c>
      <c r="T90" s="45">
        <f t="shared" si="57"/>
        <v>68000</v>
      </c>
      <c r="U90" s="45">
        <f t="shared" si="57"/>
        <v>76500</v>
      </c>
      <c r="V90" s="45">
        <f t="shared" si="57"/>
        <v>61625</v>
      </c>
      <c r="W90" s="45">
        <f t="shared" si="57"/>
        <v>53125</v>
      </c>
      <c r="X90" s="45">
        <f t="shared" si="57"/>
        <v>42500</v>
      </c>
      <c r="Y90" s="45">
        <f t="shared" si="57"/>
        <v>42500</v>
      </c>
      <c r="Z90" s="45">
        <f t="shared" si="57"/>
        <v>46750</v>
      </c>
      <c r="AA90" s="45">
        <f t="shared" si="57"/>
        <v>76500</v>
      </c>
      <c r="AB90" s="45">
        <f t="shared" si="57"/>
        <v>85000</v>
      </c>
      <c r="AC90" s="45">
        <f t="shared" si="57"/>
        <v>95625</v>
      </c>
      <c r="AD90" s="45">
        <f t="shared" si="57"/>
        <v>114750</v>
      </c>
      <c r="AE90" s="10"/>
      <c r="AF90" s="10"/>
      <c r="AG90" s="10"/>
      <c r="AH90" s="10"/>
      <c r="AI90" s="10"/>
      <c r="AJ90" s="10"/>
      <c r="AK90" s="10"/>
      <c r="AL90" s="10"/>
      <c r="AM90" s="10"/>
    </row>
    <row r="91" spans="1:39" ht="16.5" hidden="1" customHeight="1" outlineLevel="1" x14ac:dyDescent="0.2">
      <c r="A91" s="16"/>
      <c r="B91" s="46" t="s">
        <v>33</v>
      </c>
      <c r="C91" s="7" t="s">
        <v>34</v>
      </c>
      <c r="D91" s="47">
        <v>0.1</v>
      </c>
      <c r="E91" s="47">
        <v>0.2</v>
      </c>
      <c r="F91" s="47">
        <v>0.3</v>
      </c>
      <c r="G91" s="47">
        <v>0.5</v>
      </c>
      <c r="H91" s="47">
        <v>0.5</v>
      </c>
      <c r="I91" s="47">
        <v>0.8</v>
      </c>
      <c r="J91" s="47">
        <v>0.7</v>
      </c>
      <c r="K91" s="47">
        <v>0.6</v>
      </c>
      <c r="L91" s="47">
        <v>0.5</v>
      </c>
      <c r="M91" s="47">
        <v>0.5</v>
      </c>
      <c r="N91" s="47">
        <v>0.6</v>
      </c>
      <c r="O91" s="47">
        <v>0.8</v>
      </c>
      <c r="P91" s="47">
        <v>1</v>
      </c>
      <c r="Q91" s="47">
        <v>1.2</v>
      </c>
      <c r="R91" s="47">
        <v>1.6</v>
      </c>
      <c r="S91" s="47">
        <v>1.5</v>
      </c>
      <c r="T91" s="47">
        <v>1.8</v>
      </c>
      <c r="U91" s="47">
        <v>2</v>
      </c>
      <c r="V91" s="47">
        <v>1.6</v>
      </c>
      <c r="W91" s="47">
        <v>1.4</v>
      </c>
      <c r="X91" s="47">
        <v>1.1000000000000001</v>
      </c>
      <c r="Y91" s="47">
        <v>1.1000000000000001</v>
      </c>
      <c r="Z91" s="47">
        <v>1.2</v>
      </c>
      <c r="AA91" s="47">
        <v>2</v>
      </c>
      <c r="AB91" s="47">
        <v>2.2000000000000002</v>
      </c>
      <c r="AC91" s="47">
        <v>2.5</v>
      </c>
      <c r="AD91" s="47">
        <v>3</v>
      </c>
      <c r="AE91" s="10"/>
      <c r="AF91" s="10"/>
      <c r="AG91" s="10"/>
      <c r="AH91" s="10"/>
      <c r="AI91" s="10"/>
      <c r="AJ91" s="10"/>
      <c r="AK91" s="10"/>
      <c r="AL91" s="10"/>
      <c r="AM91" s="10"/>
    </row>
    <row r="92" spans="1:39" ht="15.75" hidden="1" customHeight="1" outlineLevel="1" x14ac:dyDescent="0.2">
      <c r="A92" s="48"/>
      <c r="B92" s="49" t="s">
        <v>35</v>
      </c>
      <c r="C92" s="50">
        <v>3000</v>
      </c>
      <c r="D92" s="51">
        <f t="shared" ref="D92:AD92" si="58">ROUND(D91*$C92,0)</f>
        <v>300</v>
      </c>
      <c r="E92" s="51">
        <f t="shared" si="58"/>
        <v>600</v>
      </c>
      <c r="F92" s="51">
        <f t="shared" si="58"/>
        <v>900</v>
      </c>
      <c r="G92" s="51">
        <f t="shared" si="58"/>
        <v>1500</v>
      </c>
      <c r="H92" s="51">
        <f t="shared" si="58"/>
        <v>1500</v>
      </c>
      <c r="I92" s="51">
        <f t="shared" si="58"/>
        <v>2400</v>
      </c>
      <c r="J92" s="51">
        <f t="shared" si="58"/>
        <v>2100</v>
      </c>
      <c r="K92" s="51">
        <f t="shared" si="58"/>
        <v>1800</v>
      </c>
      <c r="L92" s="51">
        <f t="shared" si="58"/>
        <v>1500</v>
      </c>
      <c r="M92" s="51">
        <f t="shared" si="58"/>
        <v>1500</v>
      </c>
      <c r="N92" s="51">
        <f t="shared" si="58"/>
        <v>1800</v>
      </c>
      <c r="O92" s="51">
        <f t="shared" si="58"/>
        <v>2400</v>
      </c>
      <c r="P92" s="51">
        <f t="shared" si="58"/>
        <v>3000</v>
      </c>
      <c r="Q92" s="51">
        <f t="shared" si="58"/>
        <v>3600</v>
      </c>
      <c r="R92" s="51">
        <f t="shared" si="58"/>
        <v>4800</v>
      </c>
      <c r="S92" s="51">
        <f t="shared" si="58"/>
        <v>4500</v>
      </c>
      <c r="T92" s="51">
        <f t="shared" si="58"/>
        <v>5400</v>
      </c>
      <c r="U92" s="51">
        <f t="shared" si="58"/>
        <v>6000</v>
      </c>
      <c r="V92" s="51">
        <f t="shared" si="58"/>
        <v>4800</v>
      </c>
      <c r="W92" s="51">
        <f t="shared" si="58"/>
        <v>4200</v>
      </c>
      <c r="X92" s="51">
        <f t="shared" si="58"/>
        <v>3300</v>
      </c>
      <c r="Y92" s="51">
        <f t="shared" si="58"/>
        <v>3300</v>
      </c>
      <c r="Z92" s="51">
        <f t="shared" si="58"/>
        <v>3600</v>
      </c>
      <c r="AA92" s="51">
        <f t="shared" si="58"/>
        <v>6000</v>
      </c>
      <c r="AB92" s="51">
        <f t="shared" si="58"/>
        <v>6600</v>
      </c>
      <c r="AC92" s="51">
        <f t="shared" si="58"/>
        <v>7500</v>
      </c>
      <c r="AD92" s="51">
        <f t="shared" si="58"/>
        <v>9000</v>
      </c>
      <c r="AE92" s="10"/>
      <c r="AF92" s="10"/>
      <c r="AG92" s="10"/>
      <c r="AH92" s="10"/>
      <c r="AI92" s="10"/>
      <c r="AJ92" s="10"/>
      <c r="AK92" s="10"/>
      <c r="AL92" s="10"/>
      <c r="AM92" s="10"/>
    </row>
    <row r="93" spans="1:39" ht="15.75" hidden="1" customHeight="1" outlineLevel="1" x14ac:dyDescent="0.2">
      <c r="A93" s="48"/>
      <c r="B93" s="49" t="s">
        <v>36</v>
      </c>
      <c r="C93" s="52">
        <v>0.1</v>
      </c>
      <c r="D93" s="22"/>
      <c r="E93" s="22"/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10"/>
      <c r="AF93" s="10"/>
      <c r="AG93" s="10"/>
      <c r="AH93" s="10"/>
      <c r="AI93" s="10"/>
      <c r="AJ93" s="10"/>
      <c r="AK93" s="10"/>
      <c r="AL93" s="10"/>
      <c r="AM93" s="10"/>
    </row>
    <row r="94" spans="1:39" ht="15.75" hidden="1" customHeight="1" outlineLevel="1" x14ac:dyDescent="0.2">
      <c r="A94" s="48"/>
      <c r="B94" s="53" t="s">
        <v>37</v>
      </c>
      <c r="C94" s="54"/>
      <c r="D94" s="51">
        <f t="shared" ref="D94:AD94" si="59">ROUND(D92*$C93,0)</f>
        <v>30</v>
      </c>
      <c r="E94" s="51">
        <f t="shared" si="59"/>
        <v>60</v>
      </c>
      <c r="F94" s="51">
        <f t="shared" si="59"/>
        <v>90</v>
      </c>
      <c r="G94" s="51">
        <f t="shared" si="59"/>
        <v>150</v>
      </c>
      <c r="H94" s="51">
        <f t="shared" si="59"/>
        <v>150</v>
      </c>
      <c r="I94" s="51">
        <f t="shared" si="59"/>
        <v>240</v>
      </c>
      <c r="J94" s="51">
        <f t="shared" si="59"/>
        <v>210</v>
      </c>
      <c r="K94" s="51">
        <f t="shared" si="59"/>
        <v>180</v>
      </c>
      <c r="L94" s="51">
        <f t="shared" si="59"/>
        <v>150</v>
      </c>
      <c r="M94" s="51">
        <f t="shared" si="59"/>
        <v>150</v>
      </c>
      <c r="N94" s="51">
        <f t="shared" si="59"/>
        <v>180</v>
      </c>
      <c r="O94" s="51">
        <f t="shared" si="59"/>
        <v>240</v>
      </c>
      <c r="P94" s="51">
        <f t="shared" si="59"/>
        <v>300</v>
      </c>
      <c r="Q94" s="51">
        <f t="shared" si="59"/>
        <v>360</v>
      </c>
      <c r="R94" s="51">
        <f t="shared" si="59"/>
        <v>480</v>
      </c>
      <c r="S94" s="51">
        <f t="shared" si="59"/>
        <v>450</v>
      </c>
      <c r="T94" s="51">
        <f t="shared" si="59"/>
        <v>540</v>
      </c>
      <c r="U94" s="51">
        <f t="shared" si="59"/>
        <v>600</v>
      </c>
      <c r="V94" s="51">
        <f t="shared" si="59"/>
        <v>480</v>
      </c>
      <c r="W94" s="51">
        <f t="shared" si="59"/>
        <v>420</v>
      </c>
      <c r="X94" s="51">
        <f t="shared" si="59"/>
        <v>330</v>
      </c>
      <c r="Y94" s="51">
        <f t="shared" si="59"/>
        <v>330</v>
      </c>
      <c r="Z94" s="51">
        <f t="shared" si="59"/>
        <v>360</v>
      </c>
      <c r="AA94" s="51">
        <f t="shared" si="59"/>
        <v>600</v>
      </c>
      <c r="AB94" s="51">
        <f t="shared" si="59"/>
        <v>660</v>
      </c>
      <c r="AC94" s="51">
        <f t="shared" si="59"/>
        <v>750</v>
      </c>
      <c r="AD94" s="51">
        <f t="shared" si="59"/>
        <v>900</v>
      </c>
      <c r="AE94" s="10"/>
      <c r="AF94" s="10"/>
      <c r="AG94" s="10"/>
      <c r="AH94" s="10"/>
      <c r="AI94" s="10"/>
      <c r="AJ94" s="10"/>
      <c r="AK94" s="10"/>
      <c r="AL94" s="10"/>
      <c r="AM94" s="10"/>
    </row>
    <row r="95" spans="1:39" ht="15.75" hidden="1" customHeight="1" outlineLevel="1" x14ac:dyDescent="0.2">
      <c r="A95" s="16"/>
      <c r="B95" s="49" t="s">
        <v>38</v>
      </c>
      <c r="C95" s="52">
        <v>0.2</v>
      </c>
      <c r="D95" s="51"/>
      <c r="E95" s="51"/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  <c r="AA95" s="51"/>
      <c r="AB95" s="51"/>
      <c r="AC95" s="51"/>
      <c r="AD95" s="51"/>
      <c r="AE95" s="10"/>
      <c r="AF95" s="10"/>
      <c r="AG95" s="10"/>
      <c r="AH95" s="10"/>
      <c r="AI95" s="10"/>
      <c r="AJ95" s="10"/>
      <c r="AK95" s="10"/>
      <c r="AL95" s="10"/>
      <c r="AM95" s="10"/>
    </row>
    <row r="96" spans="1:39" ht="15.75" hidden="1" customHeight="1" outlineLevel="1" x14ac:dyDescent="0.2">
      <c r="A96" s="48"/>
      <c r="B96" s="53" t="s">
        <v>39</v>
      </c>
      <c r="C96" s="56"/>
      <c r="D96" s="51">
        <f t="shared" ref="D96:AD96" si="60">ROUND(D94*$C95,0)</f>
        <v>6</v>
      </c>
      <c r="E96" s="51">
        <f t="shared" si="60"/>
        <v>12</v>
      </c>
      <c r="F96" s="51">
        <f t="shared" si="60"/>
        <v>18</v>
      </c>
      <c r="G96" s="51">
        <f t="shared" si="60"/>
        <v>30</v>
      </c>
      <c r="H96" s="51">
        <f t="shared" si="60"/>
        <v>30</v>
      </c>
      <c r="I96" s="51">
        <f t="shared" si="60"/>
        <v>48</v>
      </c>
      <c r="J96" s="51">
        <f t="shared" si="60"/>
        <v>42</v>
      </c>
      <c r="K96" s="51">
        <f t="shared" si="60"/>
        <v>36</v>
      </c>
      <c r="L96" s="51">
        <f t="shared" si="60"/>
        <v>30</v>
      </c>
      <c r="M96" s="51">
        <f t="shared" si="60"/>
        <v>30</v>
      </c>
      <c r="N96" s="51">
        <f t="shared" si="60"/>
        <v>36</v>
      </c>
      <c r="O96" s="51">
        <f t="shared" si="60"/>
        <v>48</v>
      </c>
      <c r="P96" s="51">
        <f t="shared" si="60"/>
        <v>60</v>
      </c>
      <c r="Q96" s="51">
        <f t="shared" si="60"/>
        <v>72</v>
      </c>
      <c r="R96" s="51">
        <f t="shared" si="60"/>
        <v>96</v>
      </c>
      <c r="S96" s="51">
        <f t="shared" si="60"/>
        <v>90</v>
      </c>
      <c r="T96" s="51">
        <f t="shared" si="60"/>
        <v>108</v>
      </c>
      <c r="U96" s="51">
        <f t="shared" si="60"/>
        <v>120</v>
      </c>
      <c r="V96" s="51">
        <f t="shared" si="60"/>
        <v>96</v>
      </c>
      <c r="W96" s="51">
        <f t="shared" si="60"/>
        <v>84</v>
      </c>
      <c r="X96" s="51">
        <f t="shared" si="60"/>
        <v>66</v>
      </c>
      <c r="Y96" s="51">
        <f t="shared" si="60"/>
        <v>66</v>
      </c>
      <c r="Z96" s="51">
        <f t="shared" si="60"/>
        <v>72</v>
      </c>
      <c r="AA96" s="51">
        <f t="shared" si="60"/>
        <v>120</v>
      </c>
      <c r="AB96" s="51">
        <f t="shared" si="60"/>
        <v>132</v>
      </c>
      <c r="AC96" s="51">
        <f t="shared" si="60"/>
        <v>150</v>
      </c>
      <c r="AD96" s="51">
        <f t="shared" si="60"/>
        <v>180</v>
      </c>
      <c r="AE96" s="10"/>
      <c r="AF96" s="10"/>
      <c r="AG96" s="10"/>
      <c r="AH96" s="10"/>
      <c r="AI96" s="10"/>
      <c r="AJ96" s="10"/>
      <c r="AK96" s="10"/>
      <c r="AL96" s="10"/>
      <c r="AM96" s="10"/>
    </row>
    <row r="97" spans="1:39" ht="15.75" hidden="1" customHeight="1" outlineLevel="1" x14ac:dyDescent="0.2">
      <c r="A97" s="16"/>
      <c r="B97" s="49" t="s">
        <v>40</v>
      </c>
      <c r="C97" s="52">
        <v>0.3</v>
      </c>
      <c r="D97" s="51"/>
      <c r="E97" s="51"/>
      <c r="F97" s="51"/>
      <c r="G97" s="51"/>
      <c r="H97" s="51"/>
      <c r="I97" s="51"/>
      <c r="J97" s="51"/>
      <c r="K97" s="51"/>
      <c r="L97" s="51"/>
      <c r="M97" s="51"/>
      <c r="N97" s="51"/>
      <c r="O97" s="51"/>
      <c r="P97" s="51"/>
      <c r="Q97" s="51"/>
      <c r="R97" s="51"/>
      <c r="S97" s="51"/>
      <c r="T97" s="51"/>
      <c r="U97" s="51"/>
      <c r="V97" s="51"/>
      <c r="W97" s="51"/>
      <c r="X97" s="51"/>
      <c r="Y97" s="51"/>
      <c r="Z97" s="51"/>
      <c r="AA97" s="51"/>
      <c r="AB97" s="51"/>
      <c r="AC97" s="51"/>
      <c r="AD97" s="51"/>
      <c r="AE97" s="10"/>
      <c r="AF97" s="10"/>
      <c r="AG97" s="10"/>
      <c r="AH97" s="10"/>
      <c r="AI97" s="10"/>
      <c r="AJ97" s="10"/>
      <c r="AK97" s="10"/>
      <c r="AL97" s="10"/>
      <c r="AM97" s="10"/>
    </row>
    <row r="98" spans="1:39" ht="15.75" hidden="1" customHeight="1" outlineLevel="1" x14ac:dyDescent="0.2">
      <c r="A98" s="16"/>
      <c r="B98" s="53" t="s">
        <v>41</v>
      </c>
      <c r="C98" s="56"/>
      <c r="D98" s="51">
        <f t="shared" ref="D98:AD98" si="61">ROUND(D96*$C97,0)</f>
        <v>2</v>
      </c>
      <c r="E98" s="51">
        <f t="shared" si="61"/>
        <v>4</v>
      </c>
      <c r="F98" s="51">
        <f t="shared" si="61"/>
        <v>5</v>
      </c>
      <c r="G98" s="51">
        <f t="shared" si="61"/>
        <v>9</v>
      </c>
      <c r="H98" s="51">
        <f t="shared" si="61"/>
        <v>9</v>
      </c>
      <c r="I98" s="51">
        <f t="shared" si="61"/>
        <v>14</v>
      </c>
      <c r="J98" s="51">
        <f t="shared" si="61"/>
        <v>13</v>
      </c>
      <c r="K98" s="51">
        <f t="shared" si="61"/>
        <v>11</v>
      </c>
      <c r="L98" s="51">
        <f t="shared" si="61"/>
        <v>9</v>
      </c>
      <c r="M98" s="51">
        <f t="shared" si="61"/>
        <v>9</v>
      </c>
      <c r="N98" s="51">
        <f t="shared" si="61"/>
        <v>11</v>
      </c>
      <c r="O98" s="51">
        <f t="shared" si="61"/>
        <v>14</v>
      </c>
      <c r="P98" s="51">
        <f t="shared" si="61"/>
        <v>18</v>
      </c>
      <c r="Q98" s="51">
        <f t="shared" si="61"/>
        <v>22</v>
      </c>
      <c r="R98" s="51">
        <f t="shared" si="61"/>
        <v>29</v>
      </c>
      <c r="S98" s="51">
        <f t="shared" si="61"/>
        <v>27</v>
      </c>
      <c r="T98" s="51">
        <f t="shared" si="61"/>
        <v>32</v>
      </c>
      <c r="U98" s="51">
        <f t="shared" si="61"/>
        <v>36</v>
      </c>
      <c r="V98" s="51">
        <f t="shared" si="61"/>
        <v>29</v>
      </c>
      <c r="W98" s="51">
        <f t="shared" si="61"/>
        <v>25</v>
      </c>
      <c r="X98" s="51">
        <f t="shared" si="61"/>
        <v>20</v>
      </c>
      <c r="Y98" s="51">
        <f t="shared" si="61"/>
        <v>20</v>
      </c>
      <c r="Z98" s="51">
        <f t="shared" si="61"/>
        <v>22</v>
      </c>
      <c r="AA98" s="51">
        <f t="shared" si="61"/>
        <v>36</v>
      </c>
      <c r="AB98" s="51">
        <f t="shared" si="61"/>
        <v>40</v>
      </c>
      <c r="AC98" s="51">
        <f t="shared" si="61"/>
        <v>45</v>
      </c>
      <c r="AD98" s="51">
        <f t="shared" si="61"/>
        <v>54</v>
      </c>
      <c r="AE98" s="10"/>
      <c r="AF98" s="10"/>
      <c r="AG98" s="10"/>
      <c r="AH98" s="10"/>
      <c r="AI98" s="10"/>
      <c r="AJ98" s="10"/>
      <c r="AK98" s="10"/>
      <c r="AL98" s="10"/>
      <c r="AM98" s="10"/>
    </row>
    <row r="99" spans="1:39" ht="15.75" hidden="1" customHeight="1" outlineLevel="1" x14ac:dyDescent="0.2">
      <c r="A99" s="16"/>
      <c r="B99" s="53" t="s">
        <v>44</v>
      </c>
      <c r="C99" s="58">
        <v>2125</v>
      </c>
      <c r="D99" s="51"/>
      <c r="E99" s="51"/>
      <c r="F99" s="51"/>
      <c r="G99" s="51"/>
      <c r="H99" s="51"/>
      <c r="I99" s="51"/>
      <c r="J99" s="51"/>
      <c r="K99" s="51"/>
      <c r="L99" s="51"/>
      <c r="M99" s="51"/>
      <c r="N99" s="51"/>
      <c r="O99" s="51"/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  <c r="AA99" s="51"/>
      <c r="AB99" s="51"/>
      <c r="AC99" s="51"/>
      <c r="AD99" s="51"/>
      <c r="AE99" s="10"/>
      <c r="AF99" s="10"/>
      <c r="AG99" s="10"/>
      <c r="AH99" s="10"/>
      <c r="AI99" s="10"/>
      <c r="AJ99" s="10"/>
      <c r="AK99" s="10"/>
      <c r="AL99" s="10"/>
      <c r="AM99" s="10"/>
    </row>
    <row r="100" spans="1:39" ht="16.5" customHeight="1" collapsed="1" x14ac:dyDescent="0.2">
      <c r="A100" s="59"/>
      <c r="B100" s="43" t="s">
        <v>433</v>
      </c>
      <c r="C100" s="44" t="s">
        <v>31</v>
      </c>
      <c r="D100" s="45">
        <f t="shared" ref="D100:AD100" si="62">$C109*D108</f>
        <v>4250</v>
      </c>
      <c r="E100" s="45">
        <f t="shared" si="62"/>
        <v>8500</v>
      </c>
      <c r="F100" s="45">
        <f t="shared" si="62"/>
        <v>10625</v>
      </c>
      <c r="G100" s="45">
        <f t="shared" si="62"/>
        <v>19125</v>
      </c>
      <c r="H100" s="45">
        <f t="shared" si="62"/>
        <v>19125</v>
      </c>
      <c r="I100" s="45">
        <f t="shared" si="62"/>
        <v>29750</v>
      </c>
      <c r="J100" s="45">
        <f t="shared" si="62"/>
        <v>27625</v>
      </c>
      <c r="K100" s="45">
        <f t="shared" si="62"/>
        <v>23375</v>
      </c>
      <c r="L100" s="45">
        <f t="shared" si="62"/>
        <v>19125</v>
      </c>
      <c r="M100" s="45">
        <f t="shared" si="62"/>
        <v>19125</v>
      </c>
      <c r="N100" s="45">
        <f t="shared" si="62"/>
        <v>23375</v>
      </c>
      <c r="O100" s="45">
        <f t="shared" si="62"/>
        <v>29750</v>
      </c>
      <c r="P100" s="45">
        <f t="shared" si="62"/>
        <v>38250</v>
      </c>
      <c r="Q100" s="45">
        <f t="shared" si="62"/>
        <v>46750</v>
      </c>
      <c r="R100" s="45">
        <f t="shared" si="62"/>
        <v>61625</v>
      </c>
      <c r="S100" s="45">
        <f t="shared" si="62"/>
        <v>57375</v>
      </c>
      <c r="T100" s="45">
        <f t="shared" si="62"/>
        <v>68000</v>
      </c>
      <c r="U100" s="45">
        <f t="shared" si="62"/>
        <v>76500</v>
      </c>
      <c r="V100" s="45">
        <f t="shared" si="62"/>
        <v>61625</v>
      </c>
      <c r="W100" s="45">
        <f t="shared" si="62"/>
        <v>53125</v>
      </c>
      <c r="X100" s="45">
        <f t="shared" si="62"/>
        <v>42500</v>
      </c>
      <c r="Y100" s="45">
        <f t="shared" si="62"/>
        <v>42500</v>
      </c>
      <c r="Z100" s="45">
        <f t="shared" si="62"/>
        <v>46750</v>
      </c>
      <c r="AA100" s="45">
        <f t="shared" si="62"/>
        <v>76500</v>
      </c>
      <c r="AB100" s="45">
        <f t="shared" si="62"/>
        <v>85000</v>
      </c>
      <c r="AC100" s="45">
        <f t="shared" si="62"/>
        <v>95625</v>
      </c>
      <c r="AD100" s="45">
        <f t="shared" si="62"/>
        <v>114750</v>
      </c>
      <c r="AE100" s="10"/>
      <c r="AF100" s="10"/>
      <c r="AG100" s="10"/>
      <c r="AH100" s="10"/>
      <c r="AI100" s="10"/>
      <c r="AJ100" s="10"/>
      <c r="AK100" s="10"/>
      <c r="AL100" s="10"/>
      <c r="AM100" s="10"/>
    </row>
    <row r="101" spans="1:39" ht="16.5" hidden="1" customHeight="1" outlineLevel="1" x14ac:dyDescent="0.2">
      <c r="A101" s="16"/>
      <c r="B101" s="46" t="s">
        <v>33</v>
      </c>
      <c r="C101" s="7" t="s">
        <v>34</v>
      </c>
      <c r="D101" s="47">
        <v>0.1</v>
      </c>
      <c r="E101" s="47">
        <v>0.2</v>
      </c>
      <c r="F101" s="47">
        <v>0.3</v>
      </c>
      <c r="G101" s="47">
        <v>0.5</v>
      </c>
      <c r="H101" s="47">
        <v>0.5</v>
      </c>
      <c r="I101" s="47">
        <v>0.8</v>
      </c>
      <c r="J101" s="47">
        <v>0.7</v>
      </c>
      <c r="K101" s="47">
        <v>0.6</v>
      </c>
      <c r="L101" s="47">
        <v>0.5</v>
      </c>
      <c r="M101" s="47">
        <v>0.5</v>
      </c>
      <c r="N101" s="47">
        <v>0.6</v>
      </c>
      <c r="O101" s="47">
        <v>0.8</v>
      </c>
      <c r="P101" s="47">
        <v>1</v>
      </c>
      <c r="Q101" s="47">
        <v>1.2</v>
      </c>
      <c r="R101" s="47">
        <v>1.6</v>
      </c>
      <c r="S101" s="47">
        <v>1.5</v>
      </c>
      <c r="T101" s="47">
        <v>1.8</v>
      </c>
      <c r="U101" s="47">
        <v>2</v>
      </c>
      <c r="V101" s="47">
        <v>1.6</v>
      </c>
      <c r="W101" s="47">
        <v>1.4</v>
      </c>
      <c r="X101" s="47">
        <v>1.1000000000000001</v>
      </c>
      <c r="Y101" s="47">
        <v>1.1000000000000001</v>
      </c>
      <c r="Z101" s="47">
        <v>1.2</v>
      </c>
      <c r="AA101" s="47">
        <v>2</v>
      </c>
      <c r="AB101" s="47">
        <v>2.2000000000000002</v>
      </c>
      <c r="AC101" s="47">
        <v>2.5</v>
      </c>
      <c r="AD101" s="47">
        <v>3</v>
      </c>
      <c r="AE101" s="10"/>
      <c r="AF101" s="10"/>
      <c r="AG101" s="10"/>
      <c r="AH101" s="10"/>
      <c r="AI101" s="10"/>
      <c r="AJ101" s="10"/>
      <c r="AK101" s="10"/>
      <c r="AL101" s="10"/>
      <c r="AM101" s="10"/>
    </row>
    <row r="102" spans="1:39" ht="15.75" hidden="1" customHeight="1" outlineLevel="1" x14ac:dyDescent="0.2">
      <c r="A102" s="48"/>
      <c r="B102" s="49" t="s">
        <v>35</v>
      </c>
      <c r="C102" s="50">
        <v>3000</v>
      </c>
      <c r="D102" s="51">
        <f t="shared" ref="D102:AD102" si="63">ROUND(D101*$C102,0)</f>
        <v>300</v>
      </c>
      <c r="E102" s="51">
        <f t="shared" si="63"/>
        <v>600</v>
      </c>
      <c r="F102" s="51">
        <f t="shared" si="63"/>
        <v>900</v>
      </c>
      <c r="G102" s="51">
        <f t="shared" si="63"/>
        <v>1500</v>
      </c>
      <c r="H102" s="51">
        <f t="shared" si="63"/>
        <v>1500</v>
      </c>
      <c r="I102" s="51">
        <f t="shared" si="63"/>
        <v>2400</v>
      </c>
      <c r="J102" s="51">
        <f t="shared" si="63"/>
        <v>2100</v>
      </c>
      <c r="K102" s="51">
        <f t="shared" si="63"/>
        <v>1800</v>
      </c>
      <c r="L102" s="51">
        <f t="shared" si="63"/>
        <v>1500</v>
      </c>
      <c r="M102" s="51">
        <f t="shared" si="63"/>
        <v>1500</v>
      </c>
      <c r="N102" s="51">
        <f t="shared" si="63"/>
        <v>1800</v>
      </c>
      <c r="O102" s="51">
        <f t="shared" si="63"/>
        <v>2400</v>
      </c>
      <c r="P102" s="51">
        <f t="shared" si="63"/>
        <v>3000</v>
      </c>
      <c r="Q102" s="51">
        <f t="shared" si="63"/>
        <v>3600</v>
      </c>
      <c r="R102" s="51">
        <f t="shared" si="63"/>
        <v>4800</v>
      </c>
      <c r="S102" s="51">
        <f t="shared" si="63"/>
        <v>4500</v>
      </c>
      <c r="T102" s="51">
        <f t="shared" si="63"/>
        <v>5400</v>
      </c>
      <c r="U102" s="51">
        <f t="shared" si="63"/>
        <v>6000</v>
      </c>
      <c r="V102" s="51">
        <f t="shared" si="63"/>
        <v>4800</v>
      </c>
      <c r="W102" s="51">
        <f t="shared" si="63"/>
        <v>4200</v>
      </c>
      <c r="X102" s="51">
        <f t="shared" si="63"/>
        <v>3300</v>
      </c>
      <c r="Y102" s="51">
        <f t="shared" si="63"/>
        <v>3300</v>
      </c>
      <c r="Z102" s="51">
        <f t="shared" si="63"/>
        <v>3600</v>
      </c>
      <c r="AA102" s="51">
        <f t="shared" si="63"/>
        <v>6000</v>
      </c>
      <c r="AB102" s="51">
        <f t="shared" si="63"/>
        <v>6600</v>
      </c>
      <c r="AC102" s="51">
        <f t="shared" si="63"/>
        <v>7500</v>
      </c>
      <c r="AD102" s="51">
        <f t="shared" si="63"/>
        <v>9000</v>
      </c>
      <c r="AE102" s="10"/>
      <c r="AF102" s="10"/>
      <c r="AG102" s="10"/>
      <c r="AH102" s="10"/>
      <c r="AI102" s="10"/>
      <c r="AJ102" s="10"/>
      <c r="AK102" s="10"/>
      <c r="AL102" s="10"/>
      <c r="AM102" s="10"/>
    </row>
    <row r="103" spans="1:39" ht="15.75" hidden="1" customHeight="1" outlineLevel="1" x14ac:dyDescent="0.2">
      <c r="A103" s="48"/>
      <c r="B103" s="49" t="s">
        <v>36</v>
      </c>
      <c r="C103" s="52">
        <v>0.1</v>
      </c>
      <c r="D103" s="22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10"/>
      <c r="AF103" s="10"/>
      <c r="AG103" s="10"/>
      <c r="AH103" s="10"/>
      <c r="AI103" s="10"/>
      <c r="AJ103" s="10"/>
      <c r="AK103" s="10"/>
      <c r="AL103" s="10"/>
      <c r="AM103" s="10"/>
    </row>
    <row r="104" spans="1:39" ht="15.75" hidden="1" customHeight="1" outlineLevel="1" x14ac:dyDescent="0.2">
      <c r="A104" s="48"/>
      <c r="B104" s="53" t="s">
        <v>37</v>
      </c>
      <c r="C104" s="54"/>
      <c r="D104" s="51">
        <f t="shared" ref="D104:AD104" si="64">ROUND(D102*$C103,0)</f>
        <v>30</v>
      </c>
      <c r="E104" s="51">
        <f t="shared" si="64"/>
        <v>60</v>
      </c>
      <c r="F104" s="51">
        <f t="shared" si="64"/>
        <v>90</v>
      </c>
      <c r="G104" s="51">
        <f t="shared" si="64"/>
        <v>150</v>
      </c>
      <c r="H104" s="51">
        <f t="shared" si="64"/>
        <v>150</v>
      </c>
      <c r="I104" s="51">
        <f t="shared" si="64"/>
        <v>240</v>
      </c>
      <c r="J104" s="51">
        <f t="shared" si="64"/>
        <v>210</v>
      </c>
      <c r="K104" s="51">
        <f t="shared" si="64"/>
        <v>180</v>
      </c>
      <c r="L104" s="51">
        <f t="shared" si="64"/>
        <v>150</v>
      </c>
      <c r="M104" s="51">
        <f t="shared" si="64"/>
        <v>150</v>
      </c>
      <c r="N104" s="51">
        <f t="shared" si="64"/>
        <v>180</v>
      </c>
      <c r="O104" s="51">
        <f t="shared" si="64"/>
        <v>240</v>
      </c>
      <c r="P104" s="51">
        <f t="shared" si="64"/>
        <v>300</v>
      </c>
      <c r="Q104" s="51">
        <f t="shared" si="64"/>
        <v>360</v>
      </c>
      <c r="R104" s="51">
        <f t="shared" si="64"/>
        <v>480</v>
      </c>
      <c r="S104" s="51">
        <f t="shared" si="64"/>
        <v>450</v>
      </c>
      <c r="T104" s="51">
        <f t="shared" si="64"/>
        <v>540</v>
      </c>
      <c r="U104" s="51">
        <f t="shared" si="64"/>
        <v>600</v>
      </c>
      <c r="V104" s="51">
        <f t="shared" si="64"/>
        <v>480</v>
      </c>
      <c r="W104" s="51">
        <f t="shared" si="64"/>
        <v>420</v>
      </c>
      <c r="X104" s="51">
        <f t="shared" si="64"/>
        <v>330</v>
      </c>
      <c r="Y104" s="51">
        <f t="shared" si="64"/>
        <v>330</v>
      </c>
      <c r="Z104" s="51">
        <f t="shared" si="64"/>
        <v>360</v>
      </c>
      <c r="AA104" s="51">
        <f t="shared" si="64"/>
        <v>600</v>
      </c>
      <c r="AB104" s="51">
        <f t="shared" si="64"/>
        <v>660</v>
      </c>
      <c r="AC104" s="51">
        <f t="shared" si="64"/>
        <v>750</v>
      </c>
      <c r="AD104" s="51">
        <f t="shared" si="64"/>
        <v>900</v>
      </c>
      <c r="AE104" s="10"/>
      <c r="AF104" s="10"/>
      <c r="AG104" s="10"/>
      <c r="AH104" s="10"/>
      <c r="AI104" s="10"/>
      <c r="AJ104" s="10"/>
      <c r="AK104" s="10"/>
      <c r="AL104" s="10"/>
      <c r="AM104" s="10"/>
    </row>
    <row r="105" spans="1:39" ht="15.75" hidden="1" customHeight="1" outlineLevel="1" x14ac:dyDescent="0.2">
      <c r="A105" s="16"/>
      <c r="B105" s="49" t="s">
        <v>38</v>
      </c>
      <c r="C105" s="52">
        <v>0.2</v>
      </c>
      <c r="D105" s="51"/>
      <c r="E105" s="51"/>
      <c r="F105" s="51"/>
      <c r="G105" s="51"/>
      <c r="H105" s="51"/>
      <c r="I105" s="51"/>
      <c r="J105" s="51"/>
      <c r="K105" s="51"/>
      <c r="L105" s="51"/>
      <c r="M105" s="51"/>
      <c r="N105" s="51"/>
      <c r="O105" s="51"/>
      <c r="P105" s="51"/>
      <c r="Q105" s="51"/>
      <c r="R105" s="51"/>
      <c r="S105" s="51"/>
      <c r="T105" s="51"/>
      <c r="U105" s="51"/>
      <c r="V105" s="51"/>
      <c r="W105" s="51"/>
      <c r="X105" s="51"/>
      <c r="Y105" s="51"/>
      <c r="Z105" s="51"/>
      <c r="AA105" s="51"/>
      <c r="AB105" s="51"/>
      <c r="AC105" s="51"/>
      <c r="AD105" s="51"/>
      <c r="AE105" s="10"/>
      <c r="AF105" s="10"/>
      <c r="AG105" s="10"/>
      <c r="AH105" s="10"/>
      <c r="AI105" s="10"/>
      <c r="AJ105" s="10"/>
      <c r="AK105" s="10"/>
      <c r="AL105" s="10"/>
      <c r="AM105" s="10"/>
    </row>
    <row r="106" spans="1:39" ht="15.75" hidden="1" customHeight="1" outlineLevel="1" x14ac:dyDescent="0.2">
      <c r="A106" s="48"/>
      <c r="B106" s="53" t="s">
        <v>39</v>
      </c>
      <c r="C106" s="56"/>
      <c r="D106" s="51">
        <f t="shared" ref="D106:AD106" si="65">ROUND(D104*$C105,0)</f>
        <v>6</v>
      </c>
      <c r="E106" s="51">
        <f t="shared" si="65"/>
        <v>12</v>
      </c>
      <c r="F106" s="51">
        <f t="shared" si="65"/>
        <v>18</v>
      </c>
      <c r="G106" s="51">
        <f t="shared" si="65"/>
        <v>30</v>
      </c>
      <c r="H106" s="51">
        <f t="shared" si="65"/>
        <v>30</v>
      </c>
      <c r="I106" s="51">
        <f t="shared" si="65"/>
        <v>48</v>
      </c>
      <c r="J106" s="51">
        <f t="shared" si="65"/>
        <v>42</v>
      </c>
      <c r="K106" s="51">
        <f t="shared" si="65"/>
        <v>36</v>
      </c>
      <c r="L106" s="51">
        <f t="shared" si="65"/>
        <v>30</v>
      </c>
      <c r="M106" s="51">
        <f t="shared" si="65"/>
        <v>30</v>
      </c>
      <c r="N106" s="51">
        <f t="shared" si="65"/>
        <v>36</v>
      </c>
      <c r="O106" s="51">
        <f t="shared" si="65"/>
        <v>48</v>
      </c>
      <c r="P106" s="51">
        <f t="shared" si="65"/>
        <v>60</v>
      </c>
      <c r="Q106" s="51">
        <f t="shared" si="65"/>
        <v>72</v>
      </c>
      <c r="R106" s="51">
        <f t="shared" si="65"/>
        <v>96</v>
      </c>
      <c r="S106" s="51">
        <f t="shared" si="65"/>
        <v>90</v>
      </c>
      <c r="T106" s="51">
        <f t="shared" si="65"/>
        <v>108</v>
      </c>
      <c r="U106" s="51">
        <f t="shared" si="65"/>
        <v>120</v>
      </c>
      <c r="V106" s="51">
        <f t="shared" si="65"/>
        <v>96</v>
      </c>
      <c r="W106" s="51">
        <f t="shared" si="65"/>
        <v>84</v>
      </c>
      <c r="X106" s="51">
        <f t="shared" si="65"/>
        <v>66</v>
      </c>
      <c r="Y106" s="51">
        <f t="shared" si="65"/>
        <v>66</v>
      </c>
      <c r="Z106" s="51">
        <f t="shared" si="65"/>
        <v>72</v>
      </c>
      <c r="AA106" s="51">
        <f t="shared" si="65"/>
        <v>120</v>
      </c>
      <c r="AB106" s="51">
        <f t="shared" si="65"/>
        <v>132</v>
      </c>
      <c r="AC106" s="51">
        <f t="shared" si="65"/>
        <v>150</v>
      </c>
      <c r="AD106" s="51">
        <f t="shared" si="65"/>
        <v>180</v>
      </c>
      <c r="AE106" s="10"/>
      <c r="AF106" s="10"/>
      <c r="AG106" s="10"/>
      <c r="AH106" s="10"/>
      <c r="AI106" s="10"/>
      <c r="AJ106" s="10"/>
      <c r="AK106" s="10"/>
      <c r="AL106" s="10"/>
      <c r="AM106" s="10"/>
    </row>
    <row r="107" spans="1:39" ht="15.75" hidden="1" customHeight="1" outlineLevel="1" x14ac:dyDescent="0.2">
      <c r="A107" s="16"/>
      <c r="B107" s="49" t="s">
        <v>40</v>
      </c>
      <c r="C107" s="52">
        <v>0.3</v>
      </c>
      <c r="D107" s="51"/>
      <c r="E107" s="51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  <c r="AA107" s="51"/>
      <c r="AB107" s="51"/>
      <c r="AC107" s="51"/>
      <c r="AD107" s="51"/>
      <c r="AE107" s="10"/>
      <c r="AF107" s="10"/>
      <c r="AG107" s="10"/>
      <c r="AH107" s="10"/>
      <c r="AI107" s="10"/>
      <c r="AJ107" s="10"/>
      <c r="AK107" s="10"/>
      <c r="AL107" s="10"/>
      <c r="AM107" s="10"/>
    </row>
    <row r="108" spans="1:39" ht="15.75" hidden="1" customHeight="1" outlineLevel="1" x14ac:dyDescent="0.2">
      <c r="A108" s="16"/>
      <c r="B108" s="53" t="s">
        <v>41</v>
      </c>
      <c r="C108" s="56"/>
      <c r="D108" s="51">
        <f t="shared" ref="D108:AD108" si="66">ROUND(D106*$C107,0)</f>
        <v>2</v>
      </c>
      <c r="E108" s="51">
        <f t="shared" si="66"/>
        <v>4</v>
      </c>
      <c r="F108" s="51">
        <f t="shared" si="66"/>
        <v>5</v>
      </c>
      <c r="G108" s="51">
        <f t="shared" si="66"/>
        <v>9</v>
      </c>
      <c r="H108" s="51">
        <f t="shared" si="66"/>
        <v>9</v>
      </c>
      <c r="I108" s="51">
        <f t="shared" si="66"/>
        <v>14</v>
      </c>
      <c r="J108" s="51">
        <f t="shared" si="66"/>
        <v>13</v>
      </c>
      <c r="K108" s="51">
        <f t="shared" si="66"/>
        <v>11</v>
      </c>
      <c r="L108" s="51">
        <f t="shared" si="66"/>
        <v>9</v>
      </c>
      <c r="M108" s="51">
        <f t="shared" si="66"/>
        <v>9</v>
      </c>
      <c r="N108" s="51">
        <f t="shared" si="66"/>
        <v>11</v>
      </c>
      <c r="O108" s="51">
        <f t="shared" si="66"/>
        <v>14</v>
      </c>
      <c r="P108" s="51">
        <f t="shared" si="66"/>
        <v>18</v>
      </c>
      <c r="Q108" s="51">
        <f t="shared" si="66"/>
        <v>22</v>
      </c>
      <c r="R108" s="51">
        <f t="shared" si="66"/>
        <v>29</v>
      </c>
      <c r="S108" s="51">
        <f t="shared" si="66"/>
        <v>27</v>
      </c>
      <c r="T108" s="51">
        <f t="shared" si="66"/>
        <v>32</v>
      </c>
      <c r="U108" s="51">
        <f t="shared" si="66"/>
        <v>36</v>
      </c>
      <c r="V108" s="51">
        <f t="shared" si="66"/>
        <v>29</v>
      </c>
      <c r="W108" s="51">
        <f t="shared" si="66"/>
        <v>25</v>
      </c>
      <c r="X108" s="51">
        <f t="shared" si="66"/>
        <v>20</v>
      </c>
      <c r="Y108" s="51">
        <f t="shared" si="66"/>
        <v>20</v>
      </c>
      <c r="Z108" s="51">
        <f t="shared" si="66"/>
        <v>22</v>
      </c>
      <c r="AA108" s="51">
        <f t="shared" si="66"/>
        <v>36</v>
      </c>
      <c r="AB108" s="51">
        <f t="shared" si="66"/>
        <v>40</v>
      </c>
      <c r="AC108" s="51">
        <f t="shared" si="66"/>
        <v>45</v>
      </c>
      <c r="AD108" s="51">
        <f t="shared" si="66"/>
        <v>54</v>
      </c>
      <c r="AE108" s="10"/>
      <c r="AF108" s="10"/>
      <c r="AG108" s="10"/>
      <c r="AH108" s="10"/>
      <c r="AI108" s="10"/>
      <c r="AJ108" s="10"/>
      <c r="AK108" s="10"/>
      <c r="AL108" s="10"/>
      <c r="AM108" s="10"/>
    </row>
    <row r="109" spans="1:39" ht="15.75" hidden="1" customHeight="1" outlineLevel="1" x14ac:dyDescent="0.2">
      <c r="A109" s="16"/>
      <c r="B109" s="53" t="s">
        <v>44</v>
      </c>
      <c r="C109" s="58">
        <v>2125</v>
      </c>
      <c r="D109" s="51"/>
      <c r="E109" s="51"/>
      <c r="F109" s="51"/>
      <c r="G109" s="51"/>
      <c r="H109" s="51"/>
      <c r="I109" s="51"/>
      <c r="J109" s="51"/>
      <c r="K109" s="51"/>
      <c r="L109" s="51"/>
      <c r="M109" s="51"/>
      <c r="N109" s="51"/>
      <c r="O109" s="51"/>
      <c r="P109" s="51"/>
      <c r="Q109" s="51"/>
      <c r="R109" s="51"/>
      <c r="S109" s="51"/>
      <c r="T109" s="51"/>
      <c r="U109" s="51"/>
      <c r="V109" s="51"/>
      <c r="W109" s="51"/>
      <c r="X109" s="51"/>
      <c r="Y109" s="51"/>
      <c r="Z109" s="51"/>
      <c r="AA109" s="51"/>
      <c r="AB109" s="51"/>
      <c r="AC109" s="51"/>
      <c r="AD109" s="51"/>
      <c r="AE109" s="10"/>
      <c r="AF109" s="10"/>
      <c r="AG109" s="10"/>
      <c r="AH109" s="10"/>
      <c r="AI109" s="10"/>
      <c r="AJ109" s="10"/>
      <c r="AK109" s="10"/>
      <c r="AL109" s="10"/>
      <c r="AM109" s="10"/>
    </row>
    <row r="110" spans="1:39" ht="15.75" customHeight="1" collapsed="1" x14ac:dyDescent="0.2">
      <c r="A110" s="59"/>
      <c r="B110" s="43" t="s">
        <v>434</v>
      </c>
      <c r="C110" s="44" t="s">
        <v>31</v>
      </c>
      <c r="D110" s="60">
        <f t="shared" ref="D110:AD110" si="67">$C119*D118</f>
        <v>5270</v>
      </c>
      <c r="E110" s="60">
        <f t="shared" si="67"/>
        <v>10540</v>
      </c>
      <c r="F110" s="60">
        <f t="shared" si="67"/>
        <v>13175</v>
      </c>
      <c r="G110" s="60">
        <f t="shared" si="67"/>
        <v>23715</v>
      </c>
      <c r="H110" s="60">
        <f t="shared" si="67"/>
        <v>23715</v>
      </c>
      <c r="I110" s="60">
        <f t="shared" si="67"/>
        <v>36890</v>
      </c>
      <c r="J110" s="60">
        <f t="shared" si="67"/>
        <v>34255</v>
      </c>
      <c r="K110" s="60">
        <f t="shared" si="67"/>
        <v>28985</v>
      </c>
      <c r="L110" s="60">
        <f t="shared" si="67"/>
        <v>23715</v>
      </c>
      <c r="M110" s="60">
        <f t="shared" si="67"/>
        <v>23715</v>
      </c>
      <c r="N110" s="60">
        <f t="shared" si="67"/>
        <v>28985</v>
      </c>
      <c r="O110" s="60">
        <f t="shared" si="67"/>
        <v>36890</v>
      </c>
      <c r="P110" s="60">
        <f t="shared" si="67"/>
        <v>47430</v>
      </c>
      <c r="Q110" s="60">
        <f t="shared" si="67"/>
        <v>57970</v>
      </c>
      <c r="R110" s="60">
        <f t="shared" si="67"/>
        <v>76415</v>
      </c>
      <c r="S110" s="60">
        <f t="shared" si="67"/>
        <v>71145</v>
      </c>
      <c r="T110" s="60">
        <f t="shared" si="67"/>
        <v>84320</v>
      </c>
      <c r="U110" s="60">
        <f t="shared" si="67"/>
        <v>94860</v>
      </c>
      <c r="V110" s="60">
        <f t="shared" si="67"/>
        <v>76415</v>
      </c>
      <c r="W110" s="60">
        <f t="shared" si="67"/>
        <v>65875</v>
      </c>
      <c r="X110" s="60">
        <f t="shared" si="67"/>
        <v>52700</v>
      </c>
      <c r="Y110" s="60">
        <f t="shared" si="67"/>
        <v>52700</v>
      </c>
      <c r="Z110" s="60">
        <f t="shared" si="67"/>
        <v>57970</v>
      </c>
      <c r="AA110" s="60">
        <f t="shared" si="67"/>
        <v>94860</v>
      </c>
      <c r="AB110" s="60">
        <f t="shared" si="67"/>
        <v>105400</v>
      </c>
      <c r="AC110" s="60">
        <f t="shared" si="67"/>
        <v>118575</v>
      </c>
      <c r="AD110" s="60">
        <f t="shared" si="67"/>
        <v>142290</v>
      </c>
      <c r="AE110" s="10"/>
      <c r="AF110" s="10"/>
      <c r="AG110" s="10"/>
      <c r="AH110" s="10"/>
      <c r="AI110" s="10"/>
      <c r="AJ110" s="10"/>
      <c r="AK110" s="10"/>
      <c r="AL110" s="10"/>
      <c r="AM110" s="10"/>
    </row>
    <row r="111" spans="1:39" ht="16.5" hidden="1" customHeight="1" outlineLevel="1" x14ac:dyDescent="0.2">
      <c r="A111" s="16"/>
      <c r="B111" s="46" t="s">
        <v>33</v>
      </c>
      <c r="C111" s="7" t="s">
        <v>34</v>
      </c>
      <c r="D111" s="47">
        <v>0.1</v>
      </c>
      <c r="E111" s="47">
        <v>0.2</v>
      </c>
      <c r="F111" s="47">
        <v>0.3</v>
      </c>
      <c r="G111" s="47">
        <v>0.5</v>
      </c>
      <c r="H111" s="47">
        <v>0.5</v>
      </c>
      <c r="I111" s="47">
        <v>0.8</v>
      </c>
      <c r="J111" s="47">
        <v>0.7</v>
      </c>
      <c r="K111" s="47">
        <v>0.6</v>
      </c>
      <c r="L111" s="47">
        <v>0.5</v>
      </c>
      <c r="M111" s="47">
        <v>0.5</v>
      </c>
      <c r="N111" s="47">
        <v>0.6</v>
      </c>
      <c r="O111" s="47">
        <v>0.8</v>
      </c>
      <c r="P111" s="47">
        <v>1</v>
      </c>
      <c r="Q111" s="47">
        <v>1.2</v>
      </c>
      <c r="R111" s="47">
        <v>1.6</v>
      </c>
      <c r="S111" s="47">
        <v>1.5</v>
      </c>
      <c r="T111" s="47">
        <v>1.8</v>
      </c>
      <c r="U111" s="47">
        <v>2</v>
      </c>
      <c r="V111" s="47">
        <v>1.6</v>
      </c>
      <c r="W111" s="47">
        <v>1.4</v>
      </c>
      <c r="X111" s="47">
        <v>1.1000000000000001</v>
      </c>
      <c r="Y111" s="47">
        <v>1.1000000000000001</v>
      </c>
      <c r="Z111" s="47">
        <v>1.2</v>
      </c>
      <c r="AA111" s="47">
        <v>2</v>
      </c>
      <c r="AB111" s="47">
        <v>2.2000000000000002</v>
      </c>
      <c r="AC111" s="47">
        <v>2.5</v>
      </c>
      <c r="AD111" s="47">
        <v>3</v>
      </c>
      <c r="AE111" s="10"/>
      <c r="AF111" s="10"/>
      <c r="AG111" s="10"/>
      <c r="AH111" s="10"/>
      <c r="AI111" s="10"/>
      <c r="AJ111" s="10"/>
      <c r="AK111" s="10"/>
      <c r="AL111" s="10"/>
      <c r="AM111" s="10"/>
    </row>
    <row r="112" spans="1:39" ht="15.75" hidden="1" customHeight="1" outlineLevel="1" x14ac:dyDescent="0.2">
      <c r="A112" s="48"/>
      <c r="B112" s="49" t="s">
        <v>35</v>
      </c>
      <c r="C112" s="50">
        <v>3000</v>
      </c>
      <c r="D112" s="51">
        <f t="shared" ref="D112:AD112" si="68">ROUND(D111*$C112,0)</f>
        <v>300</v>
      </c>
      <c r="E112" s="51">
        <f t="shared" si="68"/>
        <v>600</v>
      </c>
      <c r="F112" s="51">
        <f t="shared" si="68"/>
        <v>900</v>
      </c>
      <c r="G112" s="51">
        <f t="shared" si="68"/>
        <v>1500</v>
      </c>
      <c r="H112" s="51">
        <f t="shared" si="68"/>
        <v>1500</v>
      </c>
      <c r="I112" s="51">
        <f t="shared" si="68"/>
        <v>2400</v>
      </c>
      <c r="J112" s="51">
        <f t="shared" si="68"/>
        <v>2100</v>
      </c>
      <c r="K112" s="51">
        <f t="shared" si="68"/>
        <v>1800</v>
      </c>
      <c r="L112" s="51">
        <f t="shared" si="68"/>
        <v>1500</v>
      </c>
      <c r="M112" s="51">
        <f t="shared" si="68"/>
        <v>1500</v>
      </c>
      <c r="N112" s="51">
        <f t="shared" si="68"/>
        <v>1800</v>
      </c>
      <c r="O112" s="51">
        <f t="shared" si="68"/>
        <v>2400</v>
      </c>
      <c r="P112" s="51">
        <f t="shared" si="68"/>
        <v>3000</v>
      </c>
      <c r="Q112" s="51">
        <f t="shared" si="68"/>
        <v>3600</v>
      </c>
      <c r="R112" s="51">
        <f t="shared" si="68"/>
        <v>4800</v>
      </c>
      <c r="S112" s="51">
        <f t="shared" si="68"/>
        <v>4500</v>
      </c>
      <c r="T112" s="51">
        <f t="shared" si="68"/>
        <v>5400</v>
      </c>
      <c r="U112" s="51">
        <f t="shared" si="68"/>
        <v>6000</v>
      </c>
      <c r="V112" s="51">
        <f t="shared" si="68"/>
        <v>4800</v>
      </c>
      <c r="W112" s="51">
        <f t="shared" si="68"/>
        <v>4200</v>
      </c>
      <c r="X112" s="51">
        <f t="shared" si="68"/>
        <v>3300</v>
      </c>
      <c r="Y112" s="51">
        <f t="shared" si="68"/>
        <v>3300</v>
      </c>
      <c r="Z112" s="51">
        <f t="shared" si="68"/>
        <v>3600</v>
      </c>
      <c r="AA112" s="51">
        <f t="shared" si="68"/>
        <v>6000</v>
      </c>
      <c r="AB112" s="51">
        <f t="shared" si="68"/>
        <v>6600</v>
      </c>
      <c r="AC112" s="51">
        <f t="shared" si="68"/>
        <v>7500</v>
      </c>
      <c r="AD112" s="51">
        <f t="shared" si="68"/>
        <v>9000</v>
      </c>
      <c r="AE112" s="10"/>
      <c r="AF112" s="10"/>
      <c r="AG112" s="10"/>
      <c r="AH112" s="10"/>
      <c r="AI112" s="10"/>
      <c r="AJ112" s="10"/>
      <c r="AK112" s="10"/>
      <c r="AL112" s="10"/>
      <c r="AM112" s="10"/>
    </row>
    <row r="113" spans="1:39" ht="15.75" hidden="1" customHeight="1" outlineLevel="1" x14ac:dyDescent="0.2">
      <c r="A113" s="48"/>
      <c r="B113" s="49" t="s">
        <v>36</v>
      </c>
      <c r="C113" s="52">
        <v>0.1</v>
      </c>
      <c r="D113" s="22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  <c r="AD113" s="22"/>
      <c r="AE113" s="10"/>
      <c r="AF113" s="10"/>
      <c r="AG113" s="10"/>
      <c r="AH113" s="10"/>
      <c r="AI113" s="10"/>
      <c r="AJ113" s="10"/>
      <c r="AK113" s="10"/>
      <c r="AL113" s="10"/>
      <c r="AM113" s="10"/>
    </row>
    <row r="114" spans="1:39" ht="15.75" hidden="1" customHeight="1" outlineLevel="1" x14ac:dyDescent="0.2">
      <c r="A114" s="48"/>
      <c r="B114" s="53" t="s">
        <v>37</v>
      </c>
      <c r="C114" s="54"/>
      <c r="D114" s="51">
        <f t="shared" ref="D114:AD114" si="69">ROUND(D112*$C113,0)</f>
        <v>30</v>
      </c>
      <c r="E114" s="51">
        <f t="shared" si="69"/>
        <v>60</v>
      </c>
      <c r="F114" s="51">
        <f t="shared" si="69"/>
        <v>90</v>
      </c>
      <c r="G114" s="51">
        <f t="shared" si="69"/>
        <v>150</v>
      </c>
      <c r="H114" s="51">
        <f t="shared" si="69"/>
        <v>150</v>
      </c>
      <c r="I114" s="51">
        <f t="shared" si="69"/>
        <v>240</v>
      </c>
      <c r="J114" s="51">
        <f t="shared" si="69"/>
        <v>210</v>
      </c>
      <c r="K114" s="51">
        <f t="shared" si="69"/>
        <v>180</v>
      </c>
      <c r="L114" s="51">
        <f t="shared" si="69"/>
        <v>150</v>
      </c>
      <c r="M114" s="51">
        <f t="shared" si="69"/>
        <v>150</v>
      </c>
      <c r="N114" s="51">
        <f t="shared" si="69"/>
        <v>180</v>
      </c>
      <c r="O114" s="51">
        <f t="shared" si="69"/>
        <v>240</v>
      </c>
      <c r="P114" s="51">
        <f t="shared" si="69"/>
        <v>300</v>
      </c>
      <c r="Q114" s="51">
        <f t="shared" si="69"/>
        <v>360</v>
      </c>
      <c r="R114" s="51">
        <f t="shared" si="69"/>
        <v>480</v>
      </c>
      <c r="S114" s="51">
        <f t="shared" si="69"/>
        <v>450</v>
      </c>
      <c r="T114" s="51">
        <f t="shared" si="69"/>
        <v>540</v>
      </c>
      <c r="U114" s="51">
        <f t="shared" si="69"/>
        <v>600</v>
      </c>
      <c r="V114" s="51">
        <f t="shared" si="69"/>
        <v>480</v>
      </c>
      <c r="W114" s="51">
        <f t="shared" si="69"/>
        <v>420</v>
      </c>
      <c r="X114" s="51">
        <f t="shared" si="69"/>
        <v>330</v>
      </c>
      <c r="Y114" s="51">
        <f t="shared" si="69"/>
        <v>330</v>
      </c>
      <c r="Z114" s="51">
        <f t="shared" si="69"/>
        <v>360</v>
      </c>
      <c r="AA114" s="51">
        <f t="shared" si="69"/>
        <v>600</v>
      </c>
      <c r="AB114" s="51">
        <f t="shared" si="69"/>
        <v>660</v>
      </c>
      <c r="AC114" s="51">
        <f t="shared" si="69"/>
        <v>750</v>
      </c>
      <c r="AD114" s="51">
        <f t="shared" si="69"/>
        <v>900</v>
      </c>
      <c r="AE114" s="10"/>
      <c r="AF114" s="10"/>
      <c r="AG114" s="10"/>
      <c r="AH114" s="10"/>
      <c r="AI114" s="10"/>
      <c r="AJ114" s="10"/>
      <c r="AK114" s="10"/>
      <c r="AL114" s="10"/>
      <c r="AM114" s="10"/>
    </row>
    <row r="115" spans="1:39" ht="15.75" hidden="1" customHeight="1" outlineLevel="1" x14ac:dyDescent="0.2">
      <c r="A115" s="16"/>
      <c r="B115" s="49" t="s">
        <v>38</v>
      </c>
      <c r="C115" s="52">
        <v>0.2</v>
      </c>
      <c r="D115" s="51"/>
      <c r="E115" s="51"/>
      <c r="F115" s="51"/>
      <c r="G115" s="51"/>
      <c r="H115" s="51"/>
      <c r="I115" s="51"/>
      <c r="J115" s="51"/>
      <c r="K115" s="51"/>
      <c r="L115" s="51"/>
      <c r="M115" s="51"/>
      <c r="N115" s="51"/>
      <c r="O115" s="51"/>
      <c r="P115" s="51"/>
      <c r="Q115" s="51"/>
      <c r="R115" s="51"/>
      <c r="S115" s="51"/>
      <c r="T115" s="51"/>
      <c r="U115" s="51"/>
      <c r="V115" s="51"/>
      <c r="W115" s="51"/>
      <c r="X115" s="51"/>
      <c r="Y115" s="51"/>
      <c r="Z115" s="51"/>
      <c r="AA115" s="51"/>
      <c r="AB115" s="51"/>
      <c r="AC115" s="51"/>
      <c r="AD115" s="51"/>
      <c r="AE115" s="10"/>
      <c r="AF115" s="10"/>
      <c r="AG115" s="10"/>
      <c r="AH115" s="10"/>
      <c r="AI115" s="10"/>
      <c r="AJ115" s="10"/>
      <c r="AK115" s="10"/>
      <c r="AL115" s="10"/>
      <c r="AM115" s="10"/>
    </row>
    <row r="116" spans="1:39" ht="15.75" hidden="1" customHeight="1" outlineLevel="1" x14ac:dyDescent="0.2">
      <c r="A116" s="48"/>
      <c r="B116" s="53" t="s">
        <v>39</v>
      </c>
      <c r="C116" s="56"/>
      <c r="D116" s="51">
        <f t="shared" ref="D116:AD116" si="70">ROUND(D114*$C115,0)</f>
        <v>6</v>
      </c>
      <c r="E116" s="51">
        <f t="shared" si="70"/>
        <v>12</v>
      </c>
      <c r="F116" s="51">
        <f t="shared" si="70"/>
        <v>18</v>
      </c>
      <c r="G116" s="51">
        <f t="shared" si="70"/>
        <v>30</v>
      </c>
      <c r="H116" s="51">
        <f t="shared" si="70"/>
        <v>30</v>
      </c>
      <c r="I116" s="51">
        <f t="shared" si="70"/>
        <v>48</v>
      </c>
      <c r="J116" s="51">
        <f t="shared" si="70"/>
        <v>42</v>
      </c>
      <c r="K116" s="51">
        <f t="shared" si="70"/>
        <v>36</v>
      </c>
      <c r="L116" s="51">
        <f t="shared" si="70"/>
        <v>30</v>
      </c>
      <c r="M116" s="51">
        <f t="shared" si="70"/>
        <v>30</v>
      </c>
      <c r="N116" s="51">
        <f t="shared" si="70"/>
        <v>36</v>
      </c>
      <c r="O116" s="51">
        <f t="shared" si="70"/>
        <v>48</v>
      </c>
      <c r="P116" s="51">
        <f t="shared" si="70"/>
        <v>60</v>
      </c>
      <c r="Q116" s="51">
        <f t="shared" si="70"/>
        <v>72</v>
      </c>
      <c r="R116" s="51">
        <f t="shared" si="70"/>
        <v>96</v>
      </c>
      <c r="S116" s="51">
        <f t="shared" si="70"/>
        <v>90</v>
      </c>
      <c r="T116" s="51">
        <f t="shared" si="70"/>
        <v>108</v>
      </c>
      <c r="U116" s="51">
        <f t="shared" si="70"/>
        <v>120</v>
      </c>
      <c r="V116" s="51">
        <f t="shared" si="70"/>
        <v>96</v>
      </c>
      <c r="W116" s="51">
        <f t="shared" si="70"/>
        <v>84</v>
      </c>
      <c r="X116" s="51">
        <f t="shared" si="70"/>
        <v>66</v>
      </c>
      <c r="Y116" s="51">
        <f t="shared" si="70"/>
        <v>66</v>
      </c>
      <c r="Z116" s="51">
        <f t="shared" si="70"/>
        <v>72</v>
      </c>
      <c r="AA116" s="51">
        <f t="shared" si="70"/>
        <v>120</v>
      </c>
      <c r="AB116" s="51">
        <f t="shared" si="70"/>
        <v>132</v>
      </c>
      <c r="AC116" s="51">
        <f t="shared" si="70"/>
        <v>150</v>
      </c>
      <c r="AD116" s="51">
        <f t="shared" si="70"/>
        <v>180</v>
      </c>
      <c r="AE116" s="10"/>
      <c r="AF116" s="10"/>
      <c r="AG116" s="10"/>
      <c r="AH116" s="10"/>
      <c r="AI116" s="10"/>
      <c r="AJ116" s="10"/>
      <c r="AK116" s="10"/>
      <c r="AL116" s="10"/>
      <c r="AM116" s="10"/>
    </row>
    <row r="117" spans="1:39" ht="15.75" hidden="1" customHeight="1" outlineLevel="1" x14ac:dyDescent="0.2">
      <c r="A117" s="16"/>
      <c r="B117" s="49" t="s">
        <v>40</v>
      </c>
      <c r="C117" s="52">
        <v>0.3</v>
      </c>
      <c r="D117" s="51"/>
      <c r="E117" s="51"/>
      <c r="F117" s="51"/>
      <c r="G117" s="51"/>
      <c r="H117" s="51"/>
      <c r="I117" s="51"/>
      <c r="J117" s="51"/>
      <c r="K117" s="51"/>
      <c r="L117" s="51"/>
      <c r="M117" s="51"/>
      <c r="N117" s="51"/>
      <c r="O117" s="51"/>
      <c r="P117" s="51"/>
      <c r="Q117" s="51"/>
      <c r="R117" s="51"/>
      <c r="S117" s="51"/>
      <c r="T117" s="51"/>
      <c r="U117" s="51"/>
      <c r="V117" s="51"/>
      <c r="W117" s="51"/>
      <c r="X117" s="51"/>
      <c r="Y117" s="51"/>
      <c r="Z117" s="51"/>
      <c r="AA117" s="51"/>
      <c r="AB117" s="51"/>
      <c r="AC117" s="51"/>
      <c r="AD117" s="51"/>
      <c r="AE117" s="10"/>
      <c r="AF117" s="10"/>
      <c r="AG117" s="10"/>
      <c r="AH117" s="10"/>
      <c r="AI117" s="10"/>
      <c r="AJ117" s="10"/>
      <c r="AK117" s="10"/>
      <c r="AL117" s="10"/>
      <c r="AM117" s="10"/>
    </row>
    <row r="118" spans="1:39" ht="15.75" hidden="1" customHeight="1" outlineLevel="1" x14ac:dyDescent="0.2">
      <c r="A118" s="16"/>
      <c r="B118" s="53" t="s">
        <v>41</v>
      </c>
      <c r="C118" s="56"/>
      <c r="D118" s="51">
        <f t="shared" ref="D118:AD118" si="71">ROUND(D116*$C117,0)</f>
        <v>2</v>
      </c>
      <c r="E118" s="51">
        <f t="shared" si="71"/>
        <v>4</v>
      </c>
      <c r="F118" s="51">
        <f t="shared" si="71"/>
        <v>5</v>
      </c>
      <c r="G118" s="51">
        <f t="shared" si="71"/>
        <v>9</v>
      </c>
      <c r="H118" s="51">
        <f t="shared" si="71"/>
        <v>9</v>
      </c>
      <c r="I118" s="51">
        <f t="shared" si="71"/>
        <v>14</v>
      </c>
      <c r="J118" s="51">
        <f t="shared" si="71"/>
        <v>13</v>
      </c>
      <c r="K118" s="51">
        <f t="shared" si="71"/>
        <v>11</v>
      </c>
      <c r="L118" s="51">
        <f t="shared" si="71"/>
        <v>9</v>
      </c>
      <c r="M118" s="51">
        <f t="shared" si="71"/>
        <v>9</v>
      </c>
      <c r="N118" s="51">
        <f t="shared" si="71"/>
        <v>11</v>
      </c>
      <c r="O118" s="51">
        <f t="shared" si="71"/>
        <v>14</v>
      </c>
      <c r="P118" s="51">
        <f t="shared" si="71"/>
        <v>18</v>
      </c>
      <c r="Q118" s="51">
        <f t="shared" si="71"/>
        <v>22</v>
      </c>
      <c r="R118" s="51">
        <f t="shared" si="71"/>
        <v>29</v>
      </c>
      <c r="S118" s="51">
        <f t="shared" si="71"/>
        <v>27</v>
      </c>
      <c r="T118" s="51">
        <f t="shared" si="71"/>
        <v>32</v>
      </c>
      <c r="U118" s="51">
        <f t="shared" si="71"/>
        <v>36</v>
      </c>
      <c r="V118" s="51">
        <f t="shared" si="71"/>
        <v>29</v>
      </c>
      <c r="W118" s="51">
        <f t="shared" si="71"/>
        <v>25</v>
      </c>
      <c r="X118" s="51">
        <f t="shared" si="71"/>
        <v>20</v>
      </c>
      <c r="Y118" s="51">
        <f t="shared" si="71"/>
        <v>20</v>
      </c>
      <c r="Z118" s="51">
        <f t="shared" si="71"/>
        <v>22</v>
      </c>
      <c r="AA118" s="51">
        <f t="shared" si="71"/>
        <v>36</v>
      </c>
      <c r="AB118" s="51">
        <f t="shared" si="71"/>
        <v>40</v>
      </c>
      <c r="AC118" s="51">
        <f t="shared" si="71"/>
        <v>45</v>
      </c>
      <c r="AD118" s="51">
        <f t="shared" si="71"/>
        <v>54</v>
      </c>
      <c r="AE118" s="10"/>
      <c r="AF118" s="10"/>
      <c r="AG118" s="10"/>
      <c r="AH118" s="10"/>
      <c r="AI118" s="10"/>
      <c r="AJ118" s="10"/>
      <c r="AK118" s="10"/>
      <c r="AL118" s="10"/>
      <c r="AM118" s="10"/>
    </row>
    <row r="119" spans="1:39" ht="15.75" hidden="1" customHeight="1" outlineLevel="1" x14ac:dyDescent="0.2">
      <c r="A119" s="16"/>
      <c r="B119" s="53" t="s">
        <v>44</v>
      </c>
      <c r="C119" s="58">
        <v>2635</v>
      </c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  <c r="AA119" s="51"/>
      <c r="AB119" s="51"/>
      <c r="AC119" s="51"/>
      <c r="AD119" s="51"/>
      <c r="AE119" s="10"/>
      <c r="AF119" s="10"/>
      <c r="AG119" s="10"/>
      <c r="AH119" s="10"/>
      <c r="AI119" s="10"/>
      <c r="AJ119" s="10"/>
      <c r="AK119" s="10"/>
      <c r="AL119" s="10"/>
      <c r="AM119" s="10"/>
    </row>
    <row r="120" spans="1:39" ht="15.75" customHeight="1" collapsed="1" x14ac:dyDescent="0.2">
      <c r="A120" s="59"/>
      <c r="B120" s="43" t="s">
        <v>435</v>
      </c>
      <c r="C120" s="44" t="s">
        <v>31</v>
      </c>
      <c r="D120" s="60">
        <f t="shared" ref="D120:AD120" si="72">D128*$C129</f>
        <v>5270</v>
      </c>
      <c r="E120" s="60">
        <f t="shared" si="72"/>
        <v>10540</v>
      </c>
      <c r="F120" s="60">
        <f t="shared" si="72"/>
        <v>13175</v>
      </c>
      <c r="G120" s="60">
        <f t="shared" si="72"/>
        <v>23715</v>
      </c>
      <c r="H120" s="60">
        <f t="shared" si="72"/>
        <v>23715</v>
      </c>
      <c r="I120" s="60">
        <f t="shared" si="72"/>
        <v>36890</v>
      </c>
      <c r="J120" s="60">
        <f t="shared" si="72"/>
        <v>34255</v>
      </c>
      <c r="K120" s="60">
        <f t="shared" si="72"/>
        <v>28985</v>
      </c>
      <c r="L120" s="60">
        <f t="shared" si="72"/>
        <v>23715</v>
      </c>
      <c r="M120" s="60">
        <f t="shared" si="72"/>
        <v>23715</v>
      </c>
      <c r="N120" s="60">
        <f t="shared" si="72"/>
        <v>28985</v>
      </c>
      <c r="O120" s="60">
        <f t="shared" si="72"/>
        <v>36890</v>
      </c>
      <c r="P120" s="60">
        <f t="shared" si="72"/>
        <v>47430</v>
      </c>
      <c r="Q120" s="60">
        <f t="shared" si="72"/>
        <v>57970</v>
      </c>
      <c r="R120" s="60">
        <f t="shared" si="72"/>
        <v>76415</v>
      </c>
      <c r="S120" s="60">
        <f t="shared" si="72"/>
        <v>71145</v>
      </c>
      <c r="T120" s="60">
        <f t="shared" si="72"/>
        <v>84320</v>
      </c>
      <c r="U120" s="60">
        <f t="shared" si="72"/>
        <v>94860</v>
      </c>
      <c r="V120" s="60">
        <f t="shared" si="72"/>
        <v>76415</v>
      </c>
      <c r="W120" s="60">
        <f t="shared" si="72"/>
        <v>65875</v>
      </c>
      <c r="X120" s="60">
        <f t="shared" si="72"/>
        <v>52700</v>
      </c>
      <c r="Y120" s="60">
        <f t="shared" si="72"/>
        <v>52700</v>
      </c>
      <c r="Z120" s="60">
        <f t="shared" si="72"/>
        <v>57970</v>
      </c>
      <c r="AA120" s="60">
        <f t="shared" si="72"/>
        <v>94860</v>
      </c>
      <c r="AB120" s="60">
        <f t="shared" si="72"/>
        <v>105400</v>
      </c>
      <c r="AC120" s="60">
        <f t="shared" si="72"/>
        <v>118575</v>
      </c>
      <c r="AD120" s="60">
        <f t="shared" si="72"/>
        <v>142290</v>
      </c>
      <c r="AE120" s="10"/>
      <c r="AF120" s="10"/>
      <c r="AG120" s="10"/>
      <c r="AH120" s="10"/>
      <c r="AI120" s="10"/>
      <c r="AJ120" s="10"/>
      <c r="AK120" s="10"/>
      <c r="AL120" s="10"/>
      <c r="AM120" s="10"/>
    </row>
    <row r="121" spans="1:39" ht="16.5" hidden="1" customHeight="1" outlineLevel="1" x14ac:dyDescent="0.2">
      <c r="A121" s="16"/>
      <c r="B121" s="46" t="s">
        <v>33</v>
      </c>
      <c r="C121" s="7" t="s">
        <v>34</v>
      </c>
      <c r="D121" s="47">
        <v>0.1</v>
      </c>
      <c r="E121" s="47">
        <v>0.2</v>
      </c>
      <c r="F121" s="47">
        <v>0.3</v>
      </c>
      <c r="G121" s="47">
        <v>0.5</v>
      </c>
      <c r="H121" s="47">
        <v>0.5</v>
      </c>
      <c r="I121" s="47">
        <v>0.8</v>
      </c>
      <c r="J121" s="47">
        <v>0.7</v>
      </c>
      <c r="K121" s="47">
        <v>0.6</v>
      </c>
      <c r="L121" s="47">
        <v>0.5</v>
      </c>
      <c r="M121" s="47">
        <v>0.5</v>
      </c>
      <c r="N121" s="47">
        <v>0.6</v>
      </c>
      <c r="O121" s="47">
        <v>0.8</v>
      </c>
      <c r="P121" s="47">
        <v>1</v>
      </c>
      <c r="Q121" s="47">
        <v>1.2</v>
      </c>
      <c r="R121" s="47">
        <v>1.6</v>
      </c>
      <c r="S121" s="47">
        <v>1.5</v>
      </c>
      <c r="T121" s="47">
        <v>1.8</v>
      </c>
      <c r="U121" s="47">
        <v>2</v>
      </c>
      <c r="V121" s="47">
        <v>1.6</v>
      </c>
      <c r="W121" s="47">
        <v>1.4</v>
      </c>
      <c r="X121" s="47">
        <v>1.1000000000000001</v>
      </c>
      <c r="Y121" s="47">
        <v>1.1000000000000001</v>
      </c>
      <c r="Z121" s="47">
        <v>1.2</v>
      </c>
      <c r="AA121" s="47">
        <v>2</v>
      </c>
      <c r="AB121" s="47">
        <v>2.2000000000000002</v>
      </c>
      <c r="AC121" s="47">
        <v>2.5</v>
      </c>
      <c r="AD121" s="47">
        <v>3</v>
      </c>
      <c r="AE121" s="10"/>
      <c r="AF121" s="10"/>
      <c r="AG121" s="10"/>
      <c r="AH121" s="10"/>
      <c r="AI121" s="10"/>
      <c r="AJ121" s="10"/>
      <c r="AK121" s="10"/>
      <c r="AL121" s="10"/>
      <c r="AM121" s="10"/>
    </row>
    <row r="122" spans="1:39" ht="15.75" hidden="1" customHeight="1" outlineLevel="1" x14ac:dyDescent="0.2">
      <c r="A122" s="48"/>
      <c r="B122" s="49" t="s">
        <v>35</v>
      </c>
      <c r="C122" s="50">
        <v>3000</v>
      </c>
      <c r="D122" s="51">
        <f t="shared" ref="D122:AD122" si="73">ROUND(D121*$C122,0)</f>
        <v>300</v>
      </c>
      <c r="E122" s="51">
        <f t="shared" si="73"/>
        <v>600</v>
      </c>
      <c r="F122" s="51">
        <f t="shared" si="73"/>
        <v>900</v>
      </c>
      <c r="G122" s="51">
        <f t="shared" si="73"/>
        <v>1500</v>
      </c>
      <c r="H122" s="51">
        <f t="shared" si="73"/>
        <v>1500</v>
      </c>
      <c r="I122" s="51">
        <f t="shared" si="73"/>
        <v>2400</v>
      </c>
      <c r="J122" s="51">
        <f t="shared" si="73"/>
        <v>2100</v>
      </c>
      <c r="K122" s="51">
        <f t="shared" si="73"/>
        <v>1800</v>
      </c>
      <c r="L122" s="51">
        <f t="shared" si="73"/>
        <v>1500</v>
      </c>
      <c r="M122" s="51">
        <f t="shared" si="73"/>
        <v>1500</v>
      </c>
      <c r="N122" s="51">
        <f t="shared" si="73"/>
        <v>1800</v>
      </c>
      <c r="O122" s="51">
        <f t="shared" si="73"/>
        <v>2400</v>
      </c>
      <c r="P122" s="51">
        <f t="shared" si="73"/>
        <v>3000</v>
      </c>
      <c r="Q122" s="51">
        <f t="shared" si="73"/>
        <v>3600</v>
      </c>
      <c r="R122" s="51">
        <f t="shared" si="73"/>
        <v>4800</v>
      </c>
      <c r="S122" s="51">
        <f t="shared" si="73"/>
        <v>4500</v>
      </c>
      <c r="T122" s="51">
        <f t="shared" si="73"/>
        <v>5400</v>
      </c>
      <c r="U122" s="51">
        <f t="shared" si="73"/>
        <v>6000</v>
      </c>
      <c r="V122" s="51">
        <f t="shared" si="73"/>
        <v>4800</v>
      </c>
      <c r="W122" s="51">
        <f t="shared" si="73"/>
        <v>4200</v>
      </c>
      <c r="X122" s="51">
        <f t="shared" si="73"/>
        <v>3300</v>
      </c>
      <c r="Y122" s="51">
        <f t="shared" si="73"/>
        <v>3300</v>
      </c>
      <c r="Z122" s="51">
        <f t="shared" si="73"/>
        <v>3600</v>
      </c>
      <c r="AA122" s="51">
        <f t="shared" si="73"/>
        <v>6000</v>
      </c>
      <c r="AB122" s="51">
        <f t="shared" si="73"/>
        <v>6600</v>
      </c>
      <c r="AC122" s="51">
        <f t="shared" si="73"/>
        <v>7500</v>
      </c>
      <c r="AD122" s="51">
        <f t="shared" si="73"/>
        <v>9000</v>
      </c>
      <c r="AE122" s="10"/>
      <c r="AF122" s="10"/>
      <c r="AG122" s="10"/>
      <c r="AH122" s="10"/>
      <c r="AI122" s="10"/>
      <c r="AJ122" s="10"/>
      <c r="AK122" s="10"/>
      <c r="AL122" s="10"/>
      <c r="AM122" s="10"/>
    </row>
    <row r="123" spans="1:39" ht="15.75" hidden="1" customHeight="1" outlineLevel="1" x14ac:dyDescent="0.2">
      <c r="A123" s="48"/>
      <c r="B123" s="49" t="s">
        <v>36</v>
      </c>
      <c r="C123" s="52">
        <v>0.1</v>
      </c>
      <c r="D123" s="22"/>
      <c r="E123" s="22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  <c r="AD123" s="22"/>
      <c r="AE123" s="10"/>
      <c r="AF123" s="10"/>
      <c r="AG123" s="10"/>
      <c r="AH123" s="10"/>
      <c r="AI123" s="10"/>
      <c r="AJ123" s="10"/>
      <c r="AK123" s="10"/>
      <c r="AL123" s="10"/>
      <c r="AM123" s="10"/>
    </row>
    <row r="124" spans="1:39" ht="15.75" hidden="1" customHeight="1" outlineLevel="1" x14ac:dyDescent="0.2">
      <c r="A124" s="48"/>
      <c r="B124" s="53" t="s">
        <v>37</v>
      </c>
      <c r="C124" s="54"/>
      <c r="D124" s="51">
        <f t="shared" ref="D124:AD124" si="74">ROUND(D122*$C123,0)</f>
        <v>30</v>
      </c>
      <c r="E124" s="51">
        <f t="shared" si="74"/>
        <v>60</v>
      </c>
      <c r="F124" s="51">
        <f t="shared" si="74"/>
        <v>90</v>
      </c>
      <c r="G124" s="51">
        <f t="shared" si="74"/>
        <v>150</v>
      </c>
      <c r="H124" s="51">
        <f t="shared" si="74"/>
        <v>150</v>
      </c>
      <c r="I124" s="51">
        <f t="shared" si="74"/>
        <v>240</v>
      </c>
      <c r="J124" s="51">
        <f t="shared" si="74"/>
        <v>210</v>
      </c>
      <c r="K124" s="51">
        <f t="shared" si="74"/>
        <v>180</v>
      </c>
      <c r="L124" s="51">
        <f t="shared" si="74"/>
        <v>150</v>
      </c>
      <c r="M124" s="51">
        <f t="shared" si="74"/>
        <v>150</v>
      </c>
      <c r="N124" s="51">
        <f t="shared" si="74"/>
        <v>180</v>
      </c>
      <c r="O124" s="51">
        <f t="shared" si="74"/>
        <v>240</v>
      </c>
      <c r="P124" s="51">
        <f t="shared" si="74"/>
        <v>300</v>
      </c>
      <c r="Q124" s="51">
        <f t="shared" si="74"/>
        <v>360</v>
      </c>
      <c r="R124" s="51">
        <f t="shared" si="74"/>
        <v>480</v>
      </c>
      <c r="S124" s="51">
        <f t="shared" si="74"/>
        <v>450</v>
      </c>
      <c r="T124" s="51">
        <f t="shared" si="74"/>
        <v>540</v>
      </c>
      <c r="U124" s="51">
        <f t="shared" si="74"/>
        <v>600</v>
      </c>
      <c r="V124" s="51">
        <f t="shared" si="74"/>
        <v>480</v>
      </c>
      <c r="W124" s="51">
        <f t="shared" si="74"/>
        <v>420</v>
      </c>
      <c r="X124" s="51">
        <f t="shared" si="74"/>
        <v>330</v>
      </c>
      <c r="Y124" s="51">
        <f t="shared" si="74"/>
        <v>330</v>
      </c>
      <c r="Z124" s="51">
        <f t="shared" si="74"/>
        <v>360</v>
      </c>
      <c r="AA124" s="51">
        <f t="shared" si="74"/>
        <v>600</v>
      </c>
      <c r="AB124" s="51">
        <f t="shared" si="74"/>
        <v>660</v>
      </c>
      <c r="AC124" s="51">
        <f t="shared" si="74"/>
        <v>750</v>
      </c>
      <c r="AD124" s="51">
        <f t="shared" si="74"/>
        <v>900</v>
      </c>
      <c r="AE124" s="10"/>
      <c r="AF124" s="10"/>
      <c r="AG124" s="10"/>
      <c r="AH124" s="10"/>
      <c r="AI124" s="10"/>
      <c r="AJ124" s="10"/>
      <c r="AK124" s="10"/>
      <c r="AL124" s="10"/>
      <c r="AM124" s="10"/>
    </row>
    <row r="125" spans="1:39" ht="15.75" hidden="1" customHeight="1" outlineLevel="1" x14ac:dyDescent="0.2">
      <c r="A125" s="16"/>
      <c r="B125" s="49" t="s">
        <v>38</v>
      </c>
      <c r="C125" s="52">
        <v>0.2</v>
      </c>
      <c r="D125" s="51"/>
      <c r="E125" s="51"/>
      <c r="F125" s="51"/>
      <c r="G125" s="51"/>
      <c r="H125" s="51"/>
      <c r="I125" s="51"/>
      <c r="J125" s="51"/>
      <c r="K125" s="51"/>
      <c r="L125" s="51"/>
      <c r="M125" s="51"/>
      <c r="N125" s="51"/>
      <c r="O125" s="51"/>
      <c r="P125" s="51"/>
      <c r="Q125" s="51"/>
      <c r="R125" s="51"/>
      <c r="S125" s="51"/>
      <c r="T125" s="51"/>
      <c r="U125" s="51"/>
      <c r="V125" s="51"/>
      <c r="W125" s="51"/>
      <c r="X125" s="51"/>
      <c r="Y125" s="51"/>
      <c r="Z125" s="51"/>
      <c r="AA125" s="51"/>
      <c r="AB125" s="51"/>
      <c r="AC125" s="51"/>
      <c r="AD125" s="51"/>
      <c r="AE125" s="10"/>
      <c r="AF125" s="10"/>
      <c r="AG125" s="10"/>
      <c r="AH125" s="10"/>
      <c r="AI125" s="10"/>
      <c r="AJ125" s="10"/>
      <c r="AK125" s="10"/>
      <c r="AL125" s="10"/>
      <c r="AM125" s="10"/>
    </row>
    <row r="126" spans="1:39" ht="15.75" hidden="1" customHeight="1" outlineLevel="1" x14ac:dyDescent="0.2">
      <c r="A126" s="48"/>
      <c r="B126" s="53" t="s">
        <v>39</v>
      </c>
      <c r="C126" s="56"/>
      <c r="D126" s="51">
        <f t="shared" ref="D126:AD126" si="75">ROUND(D124*$C125,0)</f>
        <v>6</v>
      </c>
      <c r="E126" s="51">
        <f t="shared" si="75"/>
        <v>12</v>
      </c>
      <c r="F126" s="51">
        <f t="shared" si="75"/>
        <v>18</v>
      </c>
      <c r="G126" s="51">
        <f t="shared" si="75"/>
        <v>30</v>
      </c>
      <c r="H126" s="51">
        <f t="shared" si="75"/>
        <v>30</v>
      </c>
      <c r="I126" s="51">
        <f t="shared" si="75"/>
        <v>48</v>
      </c>
      <c r="J126" s="51">
        <f t="shared" si="75"/>
        <v>42</v>
      </c>
      <c r="K126" s="51">
        <f t="shared" si="75"/>
        <v>36</v>
      </c>
      <c r="L126" s="51">
        <f t="shared" si="75"/>
        <v>30</v>
      </c>
      <c r="M126" s="51">
        <f t="shared" si="75"/>
        <v>30</v>
      </c>
      <c r="N126" s="51">
        <f t="shared" si="75"/>
        <v>36</v>
      </c>
      <c r="O126" s="51">
        <f t="shared" si="75"/>
        <v>48</v>
      </c>
      <c r="P126" s="51">
        <f t="shared" si="75"/>
        <v>60</v>
      </c>
      <c r="Q126" s="51">
        <f t="shared" si="75"/>
        <v>72</v>
      </c>
      <c r="R126" s="51">
        <f t="shared" si="75"/>
        <v>96</v>
      </c>
      <c r="S126" s="51">
        <f t="shared" si="75"/>
        <v>90</v>
      </c>
      <c r="T126" s="51">
        <f t="shared" si="75"/>
        <v>108</v>
      </c>
      <c r="U126" s="51">
        <f t="shared" si="75"/>
        <v>120</v>
      </c>
      <c r="V126" s="51">
        <f t="shared" si="75"/>
        <v>96</v>
      </c>
      <c r="W126" s="51">
        <f t="shared" si="75"/>
        <v>84</v>
      </c>
      <c r="X126" s="51">
        <f t="shared" si="75"/>
        <v>66</v>
      </c>
      <c r="Y126" s="51">
        <f t="shared" si="75"/>
        <v>66</v>
      </c>
      <c r="Z126" s="51">
        <f t="shared" si="75"/>
        <v>72</v>
      </c>
      <c r="AA126" s="51">
        <f t="shared" si="75"/>
        <v>120</v>
      </c>
      <c r="AB126" s="51">
        <f t="shared" si="75"/>
        <v>132</v>
      </c>
      <c r="AC126" s="51">
        <f t="shared" si="75"/>
        <v>150</v>
      </c>
      <c r="AD126" s="51">
        <f t="shared" si="75"/>
        <v>180</v>
      </c>
      <c r="AE126" s="10"/>
      <c r="AF126" s="10"/>
      <c r="AG126" s="10"/>
      <c r="AH126" s="10"/>
      <c r="AI126" s="10"/>
      <c r="AJ126" s="10"/>
      <c r="AK126" s="10"/>
      <c r="AL126" s="10"/>
      <c r="AM126" s="10"/>
    </row>
    <row r="127" spans="1:39" ht="15.75" hidden="1" customHeight="1" outlineLevel="1" x14ac:dyDescent="0.2">
      <c r="A127" s="16"/>
      <c r="B127" s="49" t="s">
        <v>40</v>
      </c>
      <c r="C127" s="52">
        <v>0.3</v>
      </c>
      <c r="D127" s="51"/>
      <c r="E127" s="51"/>
      <c r="F127" s="51"/>
      <c r="G127" s="51"/>
      <c r="H127" s="51"/>
      <c r="I127" s="51"/>
      <c r="J127" s="51"/>
      <c r="K127" s="51"/>
      <c r="L127" s="51"/>
      <c r="M127" s="51"/>
      <c r="N127" s="51"/>
      <c r="O127" s="51"/>
      <c r="P127" s="51"/>
      <c r="Q127" s="51"/>
      <c r="R127" s="51"/>
      <c r="S127" s="51"/>
      <c r="T127" s="51"/>
      <c r="U127" s="51"/>
      <c r="V127" s="51"/>
      <c r="W127" s="51"/>
      <c r="X127" s="51"/>
      <c r="Y127" s="51"/>
      <c r="Z127" s="51"/>
      <c r="AA127" s="51"/>
      <c r="AB127" s="51"/>
      <c r="AC127" s="51"/>
      <c r="AD127" s="51"/>
      <c r="AE127" s="10"/>
      <c r="AF127" s="10"/>
      <c r="AG127" s="10"/>
      <c r="AH127" s="10"/>
      <c r="AI127" s="10"/>
      <c r="AJ127" s="10"/>
      <c r="AK127" s="10"/>
      <c r="AL127" s="10"/>
      <c r="AM127" s="10"/>
    </row>
    <row r="128" spans="1:39" ht="15.75" hidden="1" customHeight="1" outlineLevel="1" x14ac:dyDescent="0.2">
      <c r="A128" s="16"/>
      <c r="B128" s="53" t="s">
        <v>41</v>
      </c>
      <c r="C128" s="56"/>
      <c r="D128" s="51">
        <f t="shared" ref="D128:AD128" si="76">ROUND(D126*$C127,0)</f>
        <v>2</v>
      </c>
      <c r="E128" s="51">
        <f t="shared" si="76"/>
        <v>4</v>
      </c>
      <c r="F128" s="51">
        <f t="shared" si="76"/>
        <v>5</v>
      </c>
      <c r="G128" s="51">
        <f t="shared" si="76"/>
        <v>9</v>
      </c>
      <c r="H128" s="51">
        <f t="shared" si="76"/>
        <v>9</v>
      </c>
      <c r="I128" s="51">
        <f t="shared" si="76"/>
        <v>14</v>
      </c>
      <c r="J128" s="51">
        <f t="shared" si="76"/>
        <v>13</v>
      </c>
      <c r="K128" s="51">
        <f t="shared" si="76"/>
        <v>11</v>
      </c>
      <c r="L128" s="51">
        <f t="shared" si="76"/>
        <v>9</v>
      </c>
      <c r="M128" s="51">
        <f t="shared" si="76"/>
        <v>9</v>
      </c>
      <c r="N128" s="51">
        <f t="shared" si="76"/>
        <v>11</v>
      </c>
      <c r="O128" s="51">
        <f t="shared" si="76"/>
        <v>14</v>
      </c>
      <c r="P128" s="51">
        <f t="shared" si="76"/>
        <v>18</v>
      </c>
      <c r="Q128" s="51">
        <f t="shared" si="76"/>
        <v>22</v>
      </c>
      <c r="R128" s="51">
        <f t="shared" si="76"/>
        <v>29</v>
      </c>
      <c r="S128" s="51">
        <f t="shared" si="76"/>
        <v>27</v>
      </c>
      <c r="T128" s="51">
        <f t="shared" si="76"/>
        <v>32</v>
      </c>
      <c r="U128" s="51">
        <f t="shared" si="76"/>
        <v>36</v>
      </c>
      <c r="V128" s="51">
        <f t="shared" si="76"/>
        <v>29</v>
      </c>
      <c r="W128" s="51">
        <f t="shared" si="76"/>
        <v>25</v>
      </c>
      <c r="X128" s="51">
        <f t="shared" si="76"/>
        <v>20</v>
      </c>
      <c r="Y128" s="51">
        <f t="shared" si="76"/>
        <v>20</v>
      </c>
      <c r="Z128" s="51">
        <f t="shared" si="76"/>
        <v>22</v>
      </c>
      <c r="AA128" s="51">
        <f t="shared" si="76"/>
        <v>36</v>
      </c>
      <c r="AB128" s="51">
        <f t="shared" si="76"/>
        <v>40</v>
      </c>
      <c r="AC128" s="51">
        <f t="shared" si="76"/>
        <v>45</v>
      </c>
      <c r="AD128" s="51">
        <f t="shared" si="76"/>
        <v>54</v>
      </c>
      <c r="AE128" s="10"/>
      <c r="AF128" s="10"/>
      <c r="AG128" s="10"/>
      <c r="AH128" s="10"/>
      <c r="AI128" s="10"/>
      <c r="AJ128" s="10"/>
      <c r="AK128" s="10"/>
      <c r="AL128" s="10"/>
      <c r="AM128" s="10"/>
    </row>
    <row r="129" spans="1:39" ht="15.75" hidden="1" customHeight="1" outlineLevel="1" x14ac:dyDescent="0.2">
      <c r="A129" s="16"/>
      <c r="B129" s="53" t="s">
        <v>44</v>
      </c>
      <c r="C129" s="58">
        <v>2635</v>
      </c>
      <c r="D129" s="51"/>
      <c r="E129" s="51"/>
      <c r="F129" s="51"/>
      <c r="G129" s="51"/>
      <c r="H129" s="51"/>
      <c r="I129" s="51"/>
      <c r="J129" s="51"/>
      <c r="K129" s="51"/>
      <c r="L129" s="51"/>
      <c r="M129" s="51"/>
      <c r="N129" s="51"/>
      <c r="O129" s="51"/>
      <c r="P129" s="51"/>
      <c r="Q129" s="51"/>
      <c r="R129" s="51"/>
      <c r="S129" s="51"/>
      <c r="T129" s="51"/>
      <c r="U129" s="51"/>
      <c r="V129" s="51"/>
      <c r="W129" s="51"/>
      <c r="X129" s="51"/>
      <c r="Y129" s="51"/>
      <c r="Z129" s="51"/>
      <c r="AA129" s="51"/>
      <c r="AB129" s="51"/>
      <c r="AC129" s="51"/>
      <c r="AD129" s="51"/>
      <c r="AE129" s="10"/>
      <c r="AF129" s="10"/>
      <c r="AG129" s="10"/>
      <c r="AH129" s="10"/>
      <c r="AI129" s="10"/>
      <c r="AJ129" s="10"/>
      <c r="AK129" s="10"/>
      <c r="AL129" s="10"/>
      <c r="AM129" s="10"/>
    </row>
    <row r="130" spans="1:39" ht="15.75" customHeight="1" collapsed="1" x14ac:dyDescent="0.2">
      <c r="A130" s="59"/>
      <c r="B130" s="43" t="s">
        <v>45</v>
      </c>
      <c r="C130" s="44" t="s">
        <v>31</v>
      </c>
      <c r="D130" s="60">
        <f t="shared" ref="D130:AD130" si="77">D138*$C139</f>
        <v>4080</v>
      </c>
      <c r="E130" s="60">
        <f t="shared" si="77"/>
        <v>8160</v>
      </c>
      <c r="F130" s="60">
        <f t="shared" si="77"/>
        <v>10200</v>
      </c>
      <c r="G130" s="60">
        <f t="shared" si="77"/>
        <v>18360</v>
      </c>
      <c r="H130" s="60">
        <f t="shared" si="77"/>
        <v>18360</v>
      </c>
      <c r="I130" s="60">
        <f t="shared" si="77"/>
        <v>28560</v>
      </c>
      <c r="J130" s="60">
        <f t="shared" si="77"/>
        <v>26520</v>
      </c>
      <c r="K130" s="60">
        <f t="shared" si="77"/>
        <v>22440</v>
      </c>
      <c r="L130" s="60">
        <f t="shared" si="77"/>
        <v>18360</v>
      </c>
      <c r="M130" s="60">
        <f t="shared" si="77"/>
        <v>18360</v>
      </c>
      <c r="N130" s="60">
        <f t="shared" si="77"/>
        <v>22440</v>
      </c>
      <c r="O130" s="60">
        <f t="shared" si="77"/>
        <v>28560</v>
      </c>
      <c r="P130" s="60">
        <f t="shared" si="77"/>
        <v>36720</v>
      </c>
      <c r="Q130" s="60">
        <f t="shared" si="77"/>
        <v>44880</v>
      </c>
      <c r="R130" s="60">
        <f t="shared" si="77"/>
        <v>59160</v>
      </c>
      <c r="S130" s="60">
        <f t="shared" si="77"/>
        <v>55080</v>
      </c>
      <c r="T130" s="60">
        <f t="shared" si="77"/>
        <v>65280</v>
      </c>
      <c r="U130" s="60">
        <f t="shared" si="77"/>
        <v>73440</v>
      </c>
      <c r="V130" s="60">
        <f t="shared" si="77"/>
        <v>59160</v>
      </c>
      <c r="W130" s="60">
        <f t="shared" si="77"/>
        <v>51000</v>
      </c>
      <c r="X130" s="60">
        <f t="shared" si="77"/>
        <v>40800</v>
      </c>
      <c r="Y130" s="60">
        <f t="shared" si="77"/>
        <v>40800</v>
      </c>
      <c r="Z130" s="60">
        <f t="shared" si="77"/>
        <v>44880</v>
      </c>
      <c r="AA130" s="60">
        <f t="shared" si="77"/>
        <v>73440</v>
      </c>
      <c r="AB130" s="60">
        <f t="shared" si="77"/>
        <v>81600</v>
      </c>
      <c r="AC130" s="60">
        <f t="shared" si="77"/>
        <v>91800</v>
      </c>
      <c r="AD130" s="60">
        <f t="shared" si="77"/>
        <v>110160</v>
      </c>
      <c r="AE130" s="10"/>
      <c r="AF130" s="10"/>
      <c r="AG130" s="10"/>
      <c r="AH130" s="10"/>
      <c r="AI130" s="10"/>
      <c r="AJ130" s="10"/>
      <c r="AK130" s="10"/>
      <c r="AL130" s="10"/>
      <c r="AM130" s="10"/>
    </row>
    <row r="131" spans="1:39" ht="16.5" hidden="1" customHeight="1" outlineLevel="1" x14ac:dyDescent="0.2">
      <c r="A131" s="16"/>
      <c r="B131" s="46" t="s">
        <v>33</v>
      </c>
      <c r="C131" s="7" t="s">
        <v>34</v>
      </c>
      <c r="D131" s="47">
        <v>0.1</v>
      </c>
      <c r="E131" s="47">
        <v>0.2</v>
      </c>
      <c r="F131" s="47">
        <v>0.3</v>
      </c>
      <c r="G131" s="47">
        <v>0.5</v>
      </c>
      <c r="H131" s="47">
        <v>0.5</v>
      </c>
      <c r="I131" s="47">
        <v>0.8</v>
      </c>
      <c r="J131" s="47">
        <v>0.7</v>
      </c>
      <c r="K131" s="47">
        <v>0.6</v>
      </c>
      <c r="L131" s="47">
        <v>0.5</v>
      </c>
      <c r="M131" s="47">
        <v>0.5</v>
      </c>
      <c r="N131" s="47">
        <v>0.6</v>
      </c>
      <c r="O131" s="47">
        <v>0.8</v>
      </c>
      <c r="P131" s="47">
        <v>1</v>
      </c>
      <c r="Q131" s="47">
        <v>1.2</v>
      </c>
      <c r="R131" s="47">
        <v>1.6</v>
      </c>
      <c r="S131" s="47">
        <v>1.5</v>
      </c>
      <c r="T131" s="47">
        <v>1.8</v>
      </c>
      <c r="U131" s="47">
        <v>2</v>
      </c>
      <c r="V131" s="47">
        <v>1.6</v>
      </c>
      <c r="W131" s="47">
        <v>1.4</v>
      </c>
      <c r="X131" s="47">
        <v>1.1000000000000001</v>
      </c>
      <c r="Y131" s="47">
        <v>1.1000000000000001</v>
      </c>
      <c r="Z131" s="47">
        <v>1.2</v>
      </c>
      <c r="AA131" s="47">
        <v>2</v>
      </c>
      <c r="AB131" s="47">
        <v>2.2000000000000002</v>
      </c>
      <c r="AC131" s="47">
        <v>2.5</v>
      </c>
      <c r="AD131" s="47">
        <v>3</v>
      </c>
      <c r="AE131" s="10"/>
      <c r="AF131" s="10"/>
      <c r="AG131" s="10"/>
      <c r="AH131" s="10"/>
      <c r="AI131" s="10"/>
      <c r="AJ131" s="10"/>
      <c r="AK131" s="10"/>
      <c r="AL131" s="10"/>
      <c r="AM131" s="10"/>
    </row>
    <row r="132" spans="1:39" ht="15.75" hidden="1" customHeight="1" outlineLevel="1" x14ac:dyDescent="0.2">
      <c r="A132" s="48"/>
      <c r="B132" s="49" t="s">
        <v>35</v>
      </c>
      <c r="C132" s="50">
        <v>3000</v>
      </c>
      <c r="D132" s="51">
        <f t="shared" ref="D132:AD132" si="78">ROUND(D131*$C132,0)</f>
        <v>300</v>
      </c>
      <c r="E132" s="51">
        <f t="shared" si="78"/>
        <v>600</v>
      </c>
      <c r="F132" s="51">
        <f t="shared" si="78"/>
        <v>900</v>
      </c>
      <c r="G132" s="51">
        <f t="shared" si="78"/>
        <v>1500</v>
      </c>
      <c r="H132" s="51">
        <f t="shared" si="78"/>
        <v>1500</v>
      </c>
      <c r="I132" s="51">
        <f t="shared" si="78"/>
        <v>2400</v>
      </c>
      <c r="J132" s="51">
        <f t="shared" si="78"/>
        <v>2100</v>
      </c>
      <c r="K132" s="51">
        <f t="shared" si="78"/>
        <v>1800</v>
      </c>
      <c r="L132" s="51">
        <f t="shared" si="78"/>
        <v>1500</v>
      </c>
      <c r="M132" s="51">
        <f t="shared" si="78"/>
        <v>1500</v>
      </c>
      <c r="N132" s="51">
        <f t="shared" si="78"/>
        <v>1800</v>
      </c>
      <c r="O132" s="51">
        <f t="shared" si="78"/>
        <v>2400</v>
      </c>
      <c r="P132" s="51">
        <f t="shared" si="78"/>
        <v>3000</v>
      </c>
      <c r="Q132" s="51">
        <f t="shared" si="78"/>
        <v>3600</v>
      </c>
      <c r="R132" s="51">
        <f t="shared" si="78"/>
        <v>4800</v>
      </c>
      <c r="S132" s="51">
        <f t="shared" si="78"/>
        <v>4500</v>
      </c>
      <c r="T132" s="51">
        <f t="shared" si="78"/>
        <v>5400</v>
      </c>
      <c r="U132" s="51">
        <f t="shared" si="78"/>
        <v>6000</v>
      </c>
      <c r="V132" s="51">
        <f t="shared" si="78"/>
        <v>4800</v>
      </c>
      <c r="W132" s="51">
        <f t="shared" si="78"/>
        <v>4200</v>
      </c>
      <c r="X132" s="51">
        <f t="shared" si="78"/>
        <v>3300</v>
      </c>
      <c r="Y132" s="51">
        <f t="shared" si="78"/>
        <v>3300</v>
      </c>
      <c r="Z132" s="51">
        <f t="shared" si="78"/>
        <v>3600</v>
      </c>
      <c r="AA132" s="51">
        <f t="shared" si="78"/>
        <v>6000</v>
      </c>
      <c r="AB132" s="51">
        <f t="shared" si="78"/>
        <v>6600</v>
      </c>
      <c r="AC132" s="51">
        <f t="shared" si="78"/>
        <v>7500</v>
      </c>
      <c r="AD132" s="51">
        <f t="shared" si="78"/>
        <v>9000</v>
      </c>
      <c r="AE132" s="10"/>
      <c r="AF132" s="10"/>
      <c r="AG132" s="10"/>
      <c r="AH132" s="10"/>
      <c r="AI132" s="10"/>
      <c r="AJ132" s="10"/>
      <c r="AK132" s="10"/>
      <c r="AL132" s="10"/>
      <c r="AM132" s="10"/>
    </row>
    <row r="133" spans="1:39" ht="15.75" hidden="1" customHeight="1" outlineLevel="1" x14ac:dyDescent="0.2">
      <c r="A133" s="48"/>
      <c r="B133" s="49" t="s">
        <v>36</v>
      </c>
      <c r="C133" s="52">
        <v>0.1</v>
      </c>
      <c r="D133" s="22"/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  <c r="AD133" s="22"/>
      <c r="AE133" s="10"/>
      <c r="AF133" s="10"/>
      <c r="AG133" s="10"/>
      <c r="AH133" s="10"/>
      <c r="AI133" s="10"/>
      <c r="AJ133" s="10"/>
      <c r="AK133" s="10"/>
      <c r="AL133" s="10"/>
      <c r="AM133" s="10"/>
    </row>
    <row r="134" spans="1:39" ht="15.75" hidden="1" customHeight="1" outlineLevel="1" x14ac:dyDescent="0.2">
      <c r="A134" s="48"/>
      <c r="B134" s="53" t="s">
        <v>37</v>
      </c>
      <c r="C134" s="54"/>
      <c r="D134" s="51">
        <f t="shared" ref="D134:AD134" si="79">ROUND(D132*$C133,0)</f>
        <v>30</v>
      </c>
      <c r="E134" s="51">
        <f t="shared" si="79"/>
        <v>60</v>
      </c>
      <c r="F134" s="51">
        <f t="shared" si="79"/>
        <v>90</v>
      </c>
      <c r="G134" s="51">
        <f t="shared" si="79"/>
        <v>150</v>
      </c>
      <c r="H134" s="51">
        <f t="shared" si="79"/>
        <v>150</v>
      </c>
      <c r="I134" s="51">
        <f t="shared" si="79"/>
        <v>240</v>
      </c>
      <c r="J134" s="51">
        <f t="shared" si="79"/>
        <v>210</v>
      </c>
      <c r="K134" s="51">
        <f t="shared" si="79"/>
        <v>180</v>
      </c>
      <c r="L134" s="51">
        <f t="shared" si="79"/>
        <v>150</v>
      </c>
      <c r="M134" s="51">
        <f t="shared" si="79"/>
        <v>150</v>
      </c>
      <c r="N134" s="51">
        <f t="shared" si="79"/>
        <v>180</v>
      </c>
      <c r="O134" s="51">
        <f t="shared" si="79"/>
        <v>240</v>
      </c>
      <c r="P134" s="51">
        <f t="shared" si="79"/>
        <v>300</v>
      </c>
      <c r="Q134" s="51">
        <f t="shared" si="79"/>
        <v>360</v>
      </c>
      <c r="R134" s="51">
        <f t="shared" si="79"/>
        <v>480</v>
      </c>
      <c r="S134" s="51">
        <f t="shared" si="79"/>
        <v>450</v>
      </c>
      <c r="T134" s="51">
        <f t="shared" si="79"/>
        <v>540</v>
      </c>
      <c r="U134" s="51">
        <f t="shared" si="79"/>
        <v>600</v>
      </c>
      <c r="V134" s="51">
        <f t="shared" si="79"/>
        <v>480</v>
      </c>
      <c r="W134" s="51">
        <f t="shared" si="79"/>
        <v>420</v>
      </c>
      <c r="X134" s="51">
        <f t="shared" si="79"/>
        <v>330</v>
      </c>
      <c r="Y134" s="51">
        <f t="shared" si="79"/>
        <v>330</v>
      </c>
      <c r="Z134" s="51">
        <f t="shared" si="79"/>
        <v>360</v>
      </c>
      <c r="AA134" s="51">
        <f t="shared" si="79"/>
        <v>600</v>
      </c>
      <c r="AB134" s="51">
        <f t="shared" si="79"/>
        <v>660</v>
      </c>
      <c r="AC134" s="51">
        <f t="shared" si="79"/>
        <v>750</v>
      </c>
      <c r="AD134" s="51">
        <f t="shared" si="79"/>
        <v>900</v>
      </c>
      <c r="AE134" s="10"/>
      <c r="AF134" s="10"/>
      <c r="AG134" s="10"/>
      <c r="AH134" s="10"/>
      <c r="AI134" s="10"/>
      <c r="AJ134" s="10"/>
      <c r="AK134" s="10"/>
      <c r="AL134" s="10"/>
      <c r="AM134" s="10"/>
    </row>
    <row r="135" spans="1:39" ht="15.75" hidden="1" customHeight="1" outlineLevel="1" x14ac:dyDescent="0.2">
      <c r="A135" s="16"/>
      <c r="B135" s="49" t="s">
        <v>38</v>
      </c>
      <c r="C135" s="52">
        <v>0.2</v>
      </c>
      <c r="D135" s="51"/>
      <c r="E135" s="51"/>
      <c r="F135" s="51"/>
      <c r="G135" s="51"/>
      <c r="H135" s="51"/>
      <c r="I135" s="51"/>
      <c r="J135" s="51"/>
      <c r="K135" s="51"/>
      <c r="L135" s="51"/>
      <c r="M135" s="51"/>
      <c r="N135" s="51"/>
      <c r="O135" s="51"/>
      <c r="P135" s="51"/>
      <c r="Q135" s="51"/>
      <c r="R135" s="51"/>
      <c r="S135" s="51"/>
      <c r="T135" s="51"/>
      <c r="U135" s="51"/>
      <c r="V135" s="51"/>
      <c r="W135" s="51"/>
      <c r="X135" s="51"/>
      <c r="Y135" s="51"/>
      <c r="Z135" s="51"/>
      <c r="AA135" s="51"/>
      <c r="AB135" s="51"/>
      <c r="AC135" s="51"/>
      <c r="AD135" s="51"/>
      <c r="AE135" s="10"/>
      <c r="AF135" s="10"/>
      <c r="AG135" s="10"/>
      <c r="AH135" s="10"/>
      <c r="AI135" s="10"/>
      <c r="AJ135" s="10"/>
      <c r="AK135" s="10"/>
      <c r="AL135" s="10"/>
      <c r="AM135" s="10"/>
    </row>
    <row r="136" spans="1:39" ht="15.75" hidden="1" customHeight="1" outlineLevel="1" x14ac:dyDescent="0.2">
      <c r="A136" s="48"/>
      <c r="B136" s="53" t="s">
        <v>39</v>
      </c>
      <c r="C136" s="56"/>
      <c r="D136" s="51">
        <f t="shared" ref="D136:AD136" si="80">ROUND(D134*$C135,0)</f>
        <v>6</v>
      </c>
      <c r="E136" s="51">
        <f t="shared" si="80"/>
        <v>12</v>
      </c>
      <c r="F136" s="51">
        <f t="shared" si="80"/>
        <v>18</v>
      </c>
      <c r="G136" s="51">
        <f t="shared" si="80"/>
        <v>30</v>
      </c>
      <c r="H136" s="51">
        <f t="shared" si="80"/>
        <v>30</v>
      </c>
      <c r="I136" s="51">
        <f t="shared" si="80"/>
        <v>48</v>
      </c>
      <c r="J136" s="51">
        <f t="shared" si="80"/>
        <v>42</v>
      </c>
      <c r="K136" s="51">
        <f t="shared" si="80"/>
        <v>36</v>
      </c>
      <c r="L136" s="51">
        <f t="shared" si="80"/>
        <v>30</v>
      </c>
      <c r="M136" s="51">
        <f t="shared" si="80"/>
        <v>30</v>
      </c>
      <c r="N136" s="51">
        <f t="shared" si="80"/>
        <v>36</v>
      </c>
      <c r="O136" s="51">
        <f t="shared" si="80"/>
        <v>48</v>
      </c>
      <c r="P136" s="51">
        <f t="shared" si="80"/>
        <v>60</v>
      </c>
      <c r="Q136" s="51">
        <f t="shared" si="80"/>
        <v>72</v>
      </c>
      <c r="R136" s="51">
        <f t="shared" si="80"/>
        <v>96</v>
      </c>
      <c r="S136" s="51">
        <f t="shared" si="80"/>
        <v>90</v>
      </c>
      <c r="T136" s="51">
        <f t="shared" si="80"/>
        <v>108</v>
      </c>
      <c r="U136" s="51">
        <f t="shared" si="80"/>
        <v>120</v>
      </c>
      <c r="V136" s="51">
        <f t="shared" si="80"/>
        <v>96</v>
      </c>
      <c r="W136" s="51">
        <f t="shared" si="80"/>
        <v>84</v>
      </c>
      <c r="X136" s="51">
        <f t="shared" si="80"/>
        <v>66</v>
      </c>
      <c r="Y136" s="51">
        <f t="shared" si="80"/>
        <v>66</v>
      </c>
      <c r="Z136" s="51">
        <f t="shared" si="80"/>
        <v>72</v>
      </c>
      <c r="AA136" s="51">
        <f t="shared" si="80"/>
        <v>120</v>
      </c>
      <c r="AB136" s="51">
        <f t="shared" si="80"/>
        <v>132</v>
      </c>
      <c r="AC136" s="51">
        <f t="shared" si="80"/>
        <v>150</v>
      </c>
      <c r="AD136" s="51">
        <f t="shared" si="80"/>
        <v>180</v>
      </c>
      <c r="AE136" s="10"/>
      <c r="AF136" s="10"/>
      <c r="AG136" s="10"/>
      <c r="AH136" s="10"/>
      <c r="AI136" s="10"/>
      <c r="AJ136" s="10"/>
      <c r="AK136" s="10"/>
      <c r="AL136" s="10"/>
      <c r="AM136" s="10"/>
    </row>
    <row r="137" spans="1:39" ht="15.75" hidden="1" customHeight="1" outlineLevel="1" x14ac:dyDescent="0.2">
      <c r="A137" s="16"/>
      <c r="B137" s="49" t="s">
        <v>40</v>
      </c>
      <c r="C137" s="52">
        <v>0.3</v>
      </c>
      <c r="D137" s="51"/>
      <c r="E137" s="51"/>
      <c r="F137" s="51"/>
      <c r="G137" s="51"/>
      <c r="H137" s="51"/>
      <c r="I137" s="51"/>
      <c r="J137" s="51"/>
      <c r="K137" s="51"/>
      <c r="L137" s="51"/>
      <c r="M137" s="51"/>
      <c r="N137" s="51"/>
      <c r="O137" s="51"/>
      <c r="P137" s="51"/>
      <c r="Q137" s="51"/>
      <c r="R137" s="51"/>
      <c r="S137" s="51"/>
      <c r="T137" s="51"/>
      <c r="U137" s="51"/>
      <c r="V137" s="51"/>
      <c r="W137" s="51"/>
      <c r="X137" s="51"/>
      <c r="Y137" s="51"/>
      <c r="Z137" s="51"/>
      <c r="AA137" s="51"/>
      <c r="AB137" s="51"/>
      <c r="AC137" s="51"/>
      <c r="AD137" s="51"/>
      <c r="AE137" s="10"/>
      <c r="AF137" s="10"/>
      <c r="AG137" s="10"/>
      <c r="AH137" s="10"/>
      <c r="AI137" s="10"/>
      <c r="AJ137" s="10"/>
      <c r="AK137" s="10"/>
      <c r="AL137" s="10"/>
      <c r="AM137" s="10"/>
    </row>
    <row r="138" spans="1:39" ht="15.75" hidden="1" customHeight="1" outlineLevel="1" x14ac:dyDescent="0.2">
      <c r="A138" s="16"/>
      <c r="B138" s="53" t="s">
        <v>41</v>
      </c>
      <c r="C138" s="56"/>
      <c r="D138" s="51">
        <f t="shared" ref="D138:AD138" si="81">ROUND(D136*$C137,0)</f>
        <v>2</v>
      </c>
      <c r="E138" s="51">
        <f t="shared" si="81"/>
        <v>4</v>
      </c>
      <c r="F138" s="51">
        <f t="shared" si="81"/>
        <v>5</v>
      </c>
      <c r="G138" s="51">
        <f t="shared" si="81"/>
        <v>9</v>
      </c>
      <c r="H138" s="51">
        <f t="shared" si="81"/>
        <v>9</v>
      </c>
      <c r="I138" s="51">
        <f t="shared" si="81"/>
        <v>14</v>
      </c>
      <c r="J138" s="51">
        <f t="shared" si="81"/>
        <v>13</v>
      </c>
      <c r="K138" s="51">
        <f t="shared" si="81"/>
        <v>11</v>
      </c>
      <c r="L138" s="51">
        <f t="shared" si="81"/>
        <v>9</v>
      </c>
      <c r="M138" s="51">
        <f t="shared" si="81"/>
        <v>9</v>
      </c>
      <c r="N138" s="51">
        <f t="shared" si="81"/>
        <v>11</v>
      </c>
      <c r="O138" s="51">
        <f t="shared" si="81"/>
        <v>14</v>
      </c>
      <c r="P138" s="51">
        <f t="shared" si="81"/>
        <v>18</v>
      </c>
      <c r="Q138" s="51">
        <f t="shared" si="81"/>
        <v>22</v>
      </c>
      <c r="R138" s="51">
        <f t="shared" si="81"/>
        <v>29</v>
      </c>
      <c r="S138" s="51">
        <f t="shared" si="81"/>
        <v>27</v>
      </c>
      <c r="T138" s="51">
        <f t="shared" si="81"/>
        <v>32</v>
      </c>
      <c r="U138" s="51">
        <f t="shared" si="81"/>
        <v>36</v>
      </c>
      <c r="V138" s="51">
        <f t="shared" si="81"/>
        <v>29</v>
      </c>
      <c r="W138" s="51">
        <f t="shared" si="81"/>
        <v>25</v>
      </c>
      <c r="X138" s="51">
        <f t="shared" si="81"/>
        <v>20</v>
      </c>
      <c r="Y138" s="51">
        <f t="shared" si="81"/>
        <v>20</v>
      </c>
      <c r="Z138" s="51">
        <f t="shared" si="81"/>
        <v>22</v>
      </c>
      <c r="AA138" s="51">
        <f t="shared" si="81"/>
        <v>36</v>
      </c>
      <c r="AB138" s="51">
        <f t="shared" si="81"/>
        <v>40</v>
      </c>
      <c r="AC138" s="51">
        <f t="shared" si="81"/>
        <v>45</v>
      </c>
      <c r="AD138" s="51">
        <f t="shared" si="81"/>
        <v>54</v>
      </c>
      <c r="AE138" s="10"/>
      <c r="AF138" s="10"/>
      <c r="AG138" s="10"/>
      <c r="AH138" s="10"/>
      <c r="AI138" s="10"/>
      <c r="AJ138" s="10"/>
      <c r="AK138" s="10"/>
      <c r="AL138" s="10"/>
      <c r="AM138" s="10"/>
    </row>
    <row r="139" spans="1:39" ht="15.75" hidden="1" customHeight="1" outlineLevel="1" x14ac:dyDescent="0.2">
      <c r="A139" s="16"/>
      <c r="B139" s="53" t="s">
        <v>44</v>
      </c>
      <c r="C139" s="58">
        <v>2040</v>
      </c>
      <c r="D139" s="51"/>
      <c r="E139" s="51"/>
      <c r="F139" s="51"/>
      <c r="G139" s="51"/>
      <c r="H139" s="51"/>
      <c r="I139" s="51"/>
      <c r="J139" s="51"/>
      <c r="K139" s="51"/>
      <c r="L139" s="51"/>
      <c r="M139" s="51"/>
      <c r="N139" s="51"/>
      <c r="O139" s="51"/>
      <c r="P139" s="51"/>
      <c r="Q139" s="51"/>
      <c r="R139" s="51"/>
      <c r="S139" s="51"/>
      <c r="T139" s="51"/>
      <c r="U139" s="51"/>
      <c r="V139" s="51"/>
      <c r="W139" s="51"/>
      <c r="X139" s="51"/>
      <c r="Y139" s="51"/>
      <c r="Z139" s="51"/>
      <c r="AA139" s="51"/>
      <c r="AB139" s="51"/>
      <c r="AC139" s="51"/>
      <c r="AD139" s="51"/>
      <c r="AE139" s="10"/>
      <c r="AF139" s="10"/>
      <c r="AG139" s="10"/>
      <c r="AH139" s="10"/>
      <c r="AI139" s="10"/>
      <c r="AJ139" s="10"/>
      <c r="AK139" s="10"/>
      <c r="AL139" s="10"/>
      <c r="AM139" s="10"/>
    </row>
    <row r="140" spans="1:39" ht="15.75" customHeight="1" collapsed="1" x14ac:dyDescent="0.2">
      <c r="A140" s="59"/>
      <c r="B140" s="540" t="s">
        <v>440</v>
      </c>
      <c r="C140" s="44" t="s">
        <v>31</v>
      </c>
      <c r="D140" s="60">
        <f t="shared" ref="D140:AD140" si="82">D148*$C149</f>
        <v>8400</v>
      </c>
      <c r="E140" s="60">
        <f t="shared" si="82"/>
        <v>16800</v>
      </c>
      <c r="F140" s="60">
        <f t="shared" si="82"/>
        <v>21000</v>
      </c>
      <c r="G140" s="60">
        <f t="shared" si="82"/>
        <v>37800</v>
      </c>
      <c r="H140" s="60">
        <f t="shared" si="82"/>
        <v>37800</v>
      </c>
      <c r="I140" s="60">
        <f t="shared" si="82"/>
        <v>58800</v>
      </c>
      <c r="J140" s="60">
        <f t="shared" si="82"/>
        <v>54600</v>
      </c>
      <c r="K140" s="60">
        <f t="shared" si="82"/>
        <v>46200</v>
      </c>
      <c r="L140" s="60">
        <f t="shared" si="82"/>
        <v>37800</v>
      </c>
      <c r="M140" s="60">
        <f t="shared" si="82"/>
        <v>37800</v>
      </c>
      <c r="N140" s="60">
        <f t="shared" si="82"/>
        <v>46200</v>
      </c>
      <c r="O140" s="60">
        <f t="shared" si="82"/>
        <v>58800</v>
      </c>
      <c r="P140" s="60">
        <f t="shared" si="82"/>
        <v>75600</v>
      </c>
      <c r="Q140" s="60">
        <f t="shared" si="82"/>
        <v>92400</v>
      </c>
      <c r="R140" s="60">
        <f t="shared" si="82"/>
        <v>121800</v>
      </c>
      <c r="S140" s="60">
        <f t="shared" si="82"/>
        <v>113400</v>
      </c>
      <c r="T140" s="60">
        <f t="shared" si="82"/>
        <v>134400</v>
      </c>
      <c r="U140" s="60">
        <f t="shared" si="82"/>
        <v>151200</v>
      </c>
      <c r="V140" s="60">
        <f t="shared" si="82"/>
        <v>121800</v>
      </c>
      <c r="W140" s="60">
        <f t="shared" si="82"/>
        <v>105000</v>
      </c>
      <c r="X140" s="60">
        <f t="shared" si="82"/>
        <v>84000</v>
      </c>
      <c r="Y140" s="60">
        <f t="shared" si="82"/>
        <v>84000</v>
      </c>
      <c r="Z140" s="60">
        <f t="shared" si="82"/>
        <v>92400</v>
      </c>
      <c r="AA140" s="60">
        <f t="shared" si="82"/>
        <v>151200</v>
      </c>
      <c r="AB140" s="60">
        <f t="shared" si="82"/>
        <v>168000</v>
      </c>
      <c r="AC140" s="60">
        <f t="shared" si="82"/>
        <v>189000</v>
      </c>
      <c r="AD140" s="60">
        <f t="shared" si="82"/>
        <v>226800</v>
      </c>
      <c r="AE140" s="10"/>
      <c r="AF140" s="10"/>
      <c r="AG140" s="10"/>
      <c r="AH140" s="10"/>
      <c r="AI140" s="10"/>
      <c r="AJ140" s="10"/>
      <c r="AK140" s="10"/>
      <c r="AL140" s="10"/>
      <c r="AM140" s="10"/>
    </row>
    <row r="141" spans="1:39" ht="16.5" hidden="1" customHeight="1" outlineLevel="1" x14ac:dyDescent="0.2">
      <c r="A141" s="16"/>
      <c r="B141" s="46" t="s">
        <v>33</v>
      </c>
      <c r="C141" s="7" t="s">
        <v>34</v>
      </c>
      <c r="D141" s="47">
        <v>0.1</v>
      </c>
      <c r="E141" s="47">
        <v>0.2</v>
      </c>
      <c r="F141" s="47">
        <v>0.3</v>
      </c>
      <c r="G141" s="47">
        <v>0.5</v>
      </c>
      <c r="H141" s="47">
        <v>0.5</v>
      </c>
      <c r="I141" s="47">
        <v>0.8</v>
      </c>
      <c r="J141" s="47">
        <v>0.7</v>
      </c>
      <c r="K141" s="47">
        <v>0.6</v>
      </c>
      <c r="L141" s="47">
        <v>0.5</v>
      </c>
      <c r="M141" s="47">
        <v>0.5</v>
      </c>
      <c r="N141" s="47">
        <v>0.6</v>
      </c>
      <c r="O141" s="47">
        <v>0.8</v>
      </c>
      <c r="P141" s="47">
        <v>1</v>
      </c>
      <c r="Q141" s="47">
        <v>1.2</v>
      </c>
      <c r="R141" s="47">
        <v>1.6</v>
      </c>
      <c r="S141" s="47">
        <v>1.5</v>
      </c>
      <c r="T141" s="47">
        <v>1.8</v>
      </c>
      <c r="U141" s="47">
        <v>2</v>
      </c>
      <c r="V141" s="47">
        <v>1.6</v>
      </c>
      <c r="W141" s="47">
        <v>1.4</v>
      </c>
      <c r="X141" s="47">
        <v>1.1000000000000001</v>
      </c>
      <c r="Y141" s="47">
        <v>1.1000000000000001</v>
      </c>
      <c r="Z141" s="47">
        <v>1.2</v>
      </c>
      <c r="AA141" s="47">
        <v>2</v>
      </c>
      <c r="AB141" s="47">
        <v>2.2000000000000002</v>
      </c>
      <c r="AC141" s="47">
        <v>2.5</v>
      </c>
      <c r="AD141" s="47">
        <v>3</v>
      </c>
      <c r="AE141" s="10"/>
      <c r="AF141" s="10"/>
      <c r="AG141" s="10"/>
      <c r="AH141" s="10"/>
      <c r="AI141" s="10"/>
      <c r="AJ141" s="10"/>
      <c r="AK141" s="10"/>
      <c r="AL141" s="10"/>
      <c r="AM141" s="10"/>
    </row>
    <row r="142" spans="1:39" ht="15.75" hidden="1" customHeight="1" outlineLevel="1" x14ac:dyDescent="0.2">
      <c r="A142" s="48"/>
      <c r="B142" s="49" t="s">
        <v>35</v>
      </c>
      <c r="C142" s="50">
        <v>3000</v>
      </c>
      <c r="D142" s="51">
        <f t="shared" ref="D142:AD142" si="83">ROUND(D141*$C142,0)</f>
        <v>300</v>
      </c>
      <c r="E142" s="51">
        <f t="shared" si="83"/>
        <v>600</v>
      </c>
      <c r="F142" s="51">
        <f t="shared" si="83"/>
        <v>900</v>
      </c>
      <c r="G142" s="51">
        <f t="shared" si="83"/>
        <v>1500</v>
      </c>
      <c r="H142" s="51">
        <f t="shared" si="83"/>
        <v>1500</v>
      </c>
      <c r="I142" s="51">
        <f t="shared" si="83"/>
        <v>2400</v>
      </c>
      <c r="J142" s="51">
        <f t="shared" si="83"/>
        <v>2100</v>
      </c>
      <c r="K142" s="51">
        <f t="shared" si="83"/>
        <v>1800</v>
      </c>
      <c r="L142" s="51">
        <f t="shared" si="83"/>
        <v>1500</v>
      </c>
      <c r="M142" s="51">
        <f t="shared" si="83"/>
        <v>1500</v>
      </c>
      <c r="N142" s="51">
        <f t="shared" si="83"/>
        <v>1800</v>
      </c>
      <c r="O142" s="51">
        <f t="shared" si="83"/>
        <v>2400</v>
      </c>
      <c r="P142" s="51">
        <f t="shared" si="83"/>
        <v>3000</v>
      </c>
      <c r="Q142" s="51">
        <f t="shared" si="83"/>
        <v>3600</v>
      </c>
      <c r="R142" s="51">
        <f t="shared" si="83"/>
        <v>4800</v>
      </c>
      <c r="S142" s="51">
        <f t="shared" si="83"/>
        <v>4500</v>
      </c>
      <c r="T142" s="51">
        <f t="shared" si="83"/>
        <v>5400</v>
      </c>
      <c r="U142" s="51">
        <f t="shared" si="83"/>
        <v>6000</v>
      </c>
      <c r="V142" s="51">
        <f t="shared" si="83"/>
        <v>4800</v>
      </c>
      <c r="W142" s="51">
        <f t="shared" si="83"/>
        <v>4200</v>
      </c>
      <c r="X142" s="51">
        <f t="shared" si="83"/>
        <v>3300</v>
      </c>
      <c r="Y142" s="51">
        <f t="shared" si="83"/>
        <v>3300</v>
      </c>
      <c r="Z142" s="51">
        <f t="shared" si="83"/>
        <v>3600</v>
      </c>
      <c r="AA142" s="51">
        <f t="shared" si="83"/>
        <v>6000</v>
      </c>
      <c r="AB142" s="51">
        <f t="shared" si="83"/>
        <v>6600</v>
      </c>
      <c r="AC142" s="51">
        <f t="shared" si="83"/>
        <v>7500</v>
      </c>
      <c r="AD142" s="51">
        <f t="shared" si="83"/>
        <v>9000</v>
      </c>
      <c r="AE142" s="10"/>
      <c r="AF142" s="10"/>
      <c r="AG142" s="10"/>
      <c r="AH142" s="10"/>
      <c r="AI142" s="10"/>
      <c r="AJ142" s="10"/>
      <c r="AK142" s="10"/>
      <c r="AL142" s="10"/>
      <c r="AM142" s="10"/>
    </row>
    <row r="143" spans="1:39" ht="15.75" hidden="1" customHeight="1" outlineLevel="1" x14ac:dyDescent="0.2">
      <c r="A143" s="48"/>
      <c r="B143" s="49" t="s">
        <v>36</v>
      </c>
      <c r="C143" s="52">
        <v>0.1</v>
      </c>
      <c r="D143" s="22"/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  <c r="AD143" s="22"/>
      <c r="AE143" s="10"/>
      <c r="AF143" s="10"/>
      <c r="AG143" s="10"/>
      <c r="AH143" s="10"/>
      <c r="AI143" s="10"/>
      <c r="AJ143" s="10"/>
      <c r="AK143" s="10"/>
      <c r="AL143" s="10"/>
      <c r="AM143" s="10"/>
    </row>
    <row r="144" spans="1:39" ht="15.75" hidden="1" customHeight="1" outlineLevel="1" x14ac:dyDescent="0.2">
      <c r="A144" s="48"/>
      <c r="B144" s="53" t="s">
        <v>37</v>
      </c>
      <c r="C144" s="54"/>
      <c r="D144" s="51">
        <f t="shared" ref="D144:AD144" si="84">ROUND(D142*$C143,0)</f>
        <v>30</v>
      </c>
      <c r="E144" s="51">
        <f t="shared" si="84"/>
        <v>60</v>
      </c>
      <c r="F144" s="51">
        <f t="shared" si="84"/>
        <v>90</v>
      </c>
      <c r="G144" s="51">
        <f t="shared" si="84"/>
        <v>150</v>
      </c>
      <c r="H144" s="51">
        <f t="shared" si="84"/>
        <v>150</v>
      </c>
      <c r="I144" s="51">
        <f t="shared" si="84"/>
        <v>240</v>
      </c>
      <c r="J144" s="51">
        <f t="shared" si="84"/>
        <v>210</v>
      </c>
      <c r="K144" s="51">
        <f t="shared" si="84"/>
        <v>180</v>
      </c>
      <c r="L144" s="51">
        <f t="shared" si="84"/>
        <v>150</v>
      </c>
      <c r="M144" s="51">
        <f t="shared" si="84"/>
        <v>150</v>
      </c>
      <c r="N144" s="51">
        <f t="shared" si="84"/>
        <v>180</v>
      </c>
      <c r="O144" s="51">
        <f t="shared" si="84"/>
        <v>240</v>
      </c>
      <c r="P144" s="51">
        <f t="shared" si="84"/>
        <v>300</v>
      </c>
      <c r="Q144" s="51">
        <f t="shared" si="84"/>
        <v>360</v>
      </c>
      <c r="R144" s="51">
        <f t="shared" si="84"/>
        <v>480</v>
      </c>
      <c r="S144" s="51">
        <f t="shared" si="84"/>
        <v>450</v>
      </c>
      <c r="T144" s="51">
        <f t="shared" si="84"/>
        <v>540</v>
      </c>
      <c r="U144" s="51">
        <f t="shared" si="84"/>
        <v>600</v>
      </c>
      <c r="V144" s="51">
        <f t="shared" si="84"/>
        <v>480</v>
      </c>
      <c r="W144" s="51">
        <f t="shared" si="84"/>
        <v>420</v>
      </c>
      <c r="X144" s="51">
        <f t="shared" si="84"/>
        <v>330</v>
      </c>
      <c r="Y144" s="51">
        <f t="shared" si="84"/>
        <v>330</v>
      </c>
      <c r="Z144" s="51">
        <f t="shared" si="84"/>
        <v>360</v>
      </c>
      <c r="AA144" s="51">
        <f t="shared" si="84"/>
        <v>600</v>
      </c>
      <c r="AB144" s="51">
        <f t="shared" si="84"/>
        <v>660</v>
      </c>
      <c r="AC144" s="51">
        <f t="shared" si="84"/>
        <v>750</v>
      </c>
      <c r="AD144" s="51">
        <f t="shared" si="84"/>
        <v>900</v>
      </c>
      <c r="AE144" s="10"/>
      <c r="AF144" s="10"/>
      <c r="AG144" s="10"/>
      <c r="AH144" s="10"/>
      <c r="AI144" s="10"/>
      <c r="AJ144" s="10"/>
      <c r="AK144" s="10"/>
      <c r="AL144" s="10"/>
      <c r="AM144" s="10"/>
    </row>
    <row r="145" spans="1:39" ht="15.75" hidden="1" customHeight="1" outlineLevel="1" x14ac:dyDescent="0.2">
      <c r="A145" s="16"/>
      <c r="B145" s="49" t="s">
        <v>38</v>
      </c>
      <c r="C145" s="52">
        <v>0.2</v>
      </c>
      <c r="D145" s="51"/>
      <c r="E145" s="51"/>
      <c r="F145" s="51"/>
      <c r="G145" s="51"/>
      <c r="H145" s="51"/>
      <c r="I145" s="51"/>
      <c r="J145" s="51"/>
      <c r="K145" s="51"/>
      <c r="L145" s="51"/>
      <c r="M145" s="51"/>
      <c r="N145" s="51"/>
      <c r="O145" s="51"/>
      <c r="P145" s="51"/>
      <c r="Q145" s="51"/>
      <c r="R145" s="51"/>
      <c r="S145" s="51"/>
      <c r="T145" s="51"/>
      <c r="U145" s="51"/>
      <c r="V145" s="51"/>
      <c r="W145" s="51"/>
      <c r="X145" s="51"/>
      <c r="Y145" s="51"/>
      <c r="Z145" s="51"/>
      <c r="AA145" s="51"/>
      <c r="AB145" s="51"/>
      <c r="AC145" s="51"/>
      <c r="AD145" s="51"/>
      <c r="AE145" s="10"/>
      <c r="AF145" s="10"/>
      <c r="AG145" s="10"/>
      <c r="AH145" s="10"/>
      <c r="AI145" s="10"/>
      <c r="AJ145" s="10"/>
      <c r="AK145" s="10"/>
      <c r="AL145" s="10"/>
      <c r="AM145" s="10"/>
    </row>
    <row r="146" spans="1:39" ht="15.75" hidden="1" customHeight="1" outlineLevel="1" x14ac:dyDescent="0.2">
      <c r="A146" s="48"/>
      <c r="B146" s="53" t="s">
        <v>39</v>
      </c>
      <c r="C146" s="56"/>
      <c r="D146" s="51">
        <f t="shared" ref="D146:AD146" si="85">ROUND(D144*$C145,0)</f>
        <v>6</v>
      </c>
      <c r="E146" s="51">
        <f t="shared" si="85"/>
        <v>12</v>
      </c>
      <c r="F146" s="51">
        <f t="shared" si="85"/>
        <v>18</v>
      </c>
      <c r="G146" s="51">
        <f t="shared" si="85"/>
        <v>30</v>
      </c>
      <c r="H146" s="51">
        <f t="shared" si="85"/>
        <v>30</v>
      </c>
      <c r="I146" s="51">
        <f t="shared" si="85"/>
        <v>48</v>
      </c>
      <c r="J146" s="51">
        <f t="shared" si="85"/>
        <v>42</v>
      </c>
      <c r="K146" s="51">
        <f t="shared" si="85"/>
        <v>36</v>
      </c>
      <c r="L146" s="51">
        <f t="shared" si="85"/>
        <v>30</v>
      </c>
      <c r="M146" s="51">
        <f t="shared" si="85"/>
        <v>30</v>
      </c>
      <c r="N146" s="51">
        <f t="shared" si="85"/>
        <v>36</v>
      </c>
      <c r="O146" s="51">
        <f t="shared" si="85"/>
        <v>48</v>
      </c>
      <c r="P146" s="51">
        <f t="shared" si="85"/>
        <v>60</v>
      </c>
      <c r="Q146" s="51">
        <f t="shared" si="85"/>
        <v>72</v>
      </c>
      <c r="R146" s="51">
        <f t="shared" si="85"/>
        <v>96</v>
      </c>
      <c r="S146" s="51">
        <f t="shared" si="85"/>
        <v>90</v>
      </c>
      <c r="T146" s="51">
        <f t="shared" si="85"/>
        <v>108</v>
      </c>
      <c r="U146" s="51">
        <f t="shared" si="85"/>
        <v>120</v>
      </c>
      <c r="V146" s="51">
        <f t="shared" si="85"/>
        <v>96</v>
      </c>
      <c r="W146" s="51">
        <f t="shared" si="85"/>
        <v>84</v>
      </c>
      <c r="X146" s="51">
        <f t="shared" si="85"/>
        <v>66</v>
      </c>
      <c r="Y146" s="51">
        <f t="shared" si="85"/>
        <v>66</v>
      </c>
      <c r="Z146" s="51">
        <f t="shared" si="85"/>
        <v>72</v>
      </c>
      <c r="AA146" s="51">
        <f t="shared" si="85"/>
        <v>120</v>
      </c>
      <c r="AB146" s="51">
        <f t="shared" si="85"/>
        <v>132</v>
      </c>
      <c r="AC146" s="51">
        <f t="shared" si="85"/>
        <v>150</v>
      </c>
      <c r="AD146" s="51">
        <f t="shared" si="85"/>
        <v>180</v>
      </c>
      <c r="AE146" s="10"/>
      <c r="AF146" s="10"/>
      <c r="AG146" s="10"/>
      <c r="AH146" s="10"/>
      <c r="AI146" s="10"/>
      <c r="AJ146" s="10"/>
      <c r="AK146" s="10"/>
      <c r="AL146" s="10"/>
      <c r="AM146" s="10"/>
    </row>
    <row r="147" spans="1:39" ht="15.75" hidden="1" customHeight="1" outlineLevel="1" x14ac:dyDescent="0.2">
      <c r="A147" s="16"/>
      <c r="B147" s="49" t="s">
        <v>40</v>
      </c>
      <c r="C147" s="52">
        <v>0.3</v>
      </c>
      <c r="D147" s="51"/>
      <c r="E147" s="51"/>
      <c r="F147" s="51"/>
      <c r="G147" s="51"/>
      <c r="H147" s="51"/>
      <c r="I147" s="51"/>
      <c r="J147" s="51"/>
      <c r="K147" s="51"/>
      <c r="L147" s="51"/>
      <c r="M147" s="51"/>
      <c r="N147" s="51"/>
      <c r="O147" s="51"/>
      <c r="P147" s="51"/>
      <c r="Q147" s="51"/>
      <c r="R147" s="51"/>
      <c r="S147" s="51"/>
      <c r="T147" s="51"/>
      <c r="U147" s="51"/>
      <c r="V147" s="51"/>
      <c r="W147" s="51"/>
      <c r="X147" s="51"/>
      <c r="Y147" s="51"/>
      <c r="Z147" s="51"/>
      <c r="AA147" s="51"/>
      <c r="AB147" s="51"/>
      <c r="AC147" s="51"/>
      <c r="AD147" s="51"/>
      <c r="AE147" s="10"/>
      <c r="AF147" s="10"/>
      <c r="AG147" s="10"/>
      <c r="AH147" s="10"/>
      <c r="AI147" s="10"/>
      <c r="AJ147" s="10"/>
      <c r="AK147" s="10"/>
      <c r="AL147" s="10"/>
      <c r="AM147" s="10"/>
    </row>
    <row r="148" spans="1:39" ht="15.75" hidden="1" customHeight="1" outlineLevel="1" x14ac:dyDescent="0.2">
      <c r="A148" s="16"/>
      <c r="B148" s="53" t="s">
        <v>41</v>
      </c>
      <c r="C148" s="56"/>
      <c r="D148" s="51">
        <f t="shared" ref="D148:AD148" si="86">ROUND(D146*$C147,0)</f>
        <v>2</v>
      </c>
      <c r="E148" s="51">
        <f t="shared" si="86"/>
        <v>4</v>
      </c>
      <c r="F148" s="51">
        <f t="shared" si="86"/>
        <v>5</v>
      </c>
      <c r="G148" s="51">
        <f t="shared" si="86"/>
        <v>9</v>
      </c>
      <c r="H148" s="51">
        <f t="shared" si="86"/>
        <v>9</v>
      </c>
      <c r="I148" s="51">
        <f t="shared" si="86"/>
        <v>14</v>
      </c>
      <c r="J148" s="51">
        <f t="shared" si="86"/>
        <v>13</v>
      </c>
      <c r="K148" s="51">
        <f t="shared" si="86"/>
        <v>11</v>
      </c>
      <c r="L148" s="51">
        <f t="shared" si="86"/>
        <v>9</v>
      </c>
      <c r="M148" s="51">
        <f t="shared" si="86"/>
        <v>9</v>
      </c>
      <c r="N148" s="51">
        <f t="shared" si="86"/>
        <v>11</v>
      </c>
      <c r="O148" s="51">
        <f t="shared" si="86"/>
        <v>14</v>
      </c>
      <c r="P148" s="51">
        <f t="shared" si="86"/>
        <v>18</v>
      </c>
      <c r="Q148" s="51">
        <f t="shared" si="86"/>
        <v>22</v>
      </c>
      <c r="R148" s="51">
        <f t="shared" si="86"/>
        <v>29</v>
      </c>
      <c r="S148" s="51">
        <f t="shared" si="86"/>
        <v>27</v>
      </c>
      <c r="T148" s="51">
        <f t="shared" si="86"/>
        <v>32</v>
      </c>
      <c r="U148" s="51">
        <f t="shared" si="86"/>
        <v>36</v>
      </c>
      <c r="V148" s="51">
        <f t="shared" si="86"/>
        <v>29</v>
      </c>
      <c r="W148" s="51">
        <f t="shared" si="86"/>
        <v>25</v>
      </c>
      <c r="X148" s="51">
        <f t="shared" si="86"/>
        <v>20</v>
      </c>
      <c r="Y148" s="51">
        <f t="shared" si="86"/>
        <v>20</v>
      </c>
      <c r="Z148" s="51">
        <f t="shared" si="86"/>
        <v>22</v>
      </c>
      <c r="AA148" s="51">
        <f t="shared" si="86"/>
        <v>36</v>
      </c>
      <c r="AB148" s="51">
        <f t="shared" si="86"/>
        <v>40</v>
      </c>
      <c r="AC148" s="51">
        <f t="shared" si="86"/>
        <v>45</v>
      </c>
      <c r="AD148" s="51">
        <f t="shared" si="86"/>
        <v>54</v>
      </c>
      <c r="AE148" s="10"/>
      <c r="AF148" s="10"/>
      <c r="AG148" s="10"/>
      <c r="AH148" s="10"/>
      <c r="AI148" s="10"/>
      <c r="AJ148" s="10"/>
      <c r="AK148" s="10"/>
      <c r="AL148" s="10"/>
      <c r="AM148" s="10"/>
    </row>
    <row r="149" spans="1:39" ht="15.75" hidden="1" customHeight="1" outlineLevel="1" x14ac:dyDescent="0.2">
      <c r="A149" s="16"/>
      <c r="B149" s="53" t="s">
        <v>44</v>
      </c>
      <c r="C149" s="58">
        <v>4200</v>
      </c>
      <c r="D149" s="51"/>
      <c r="E149" s="51"/>
      <c r="F149" s="51"/>
      <c r="G149" s="51"/>
      <c r="H149" s="51"/>
      <c r="I149" s="51"/>
      <c r="J149" s="51"/>
      <c r="K149" s="51"/>
      <c r="L149" s="51"/>
      <c r="M149" s="51"/>
      <c r="N149" s="51"/>
      <c r="O149" s="51"/>
      <c r="P149" s="51"/>
      <c r="Q149" s="51"/>
      <c r="R149" s="51"/>
      <c r="S149" s="51"/>
      <c r="T149" s="51"/>
      <c r="U149" s="51"/>
      <c r="V149" s="51"/>
      <c r="W149" s="51"/>
      <c r="X149" s="51"/>
      <c r="Y149" s="51"/>
      <c r="Z149" s="51"/>
      <c r="AA149" s="51"/>
      <c r="AB149" s="51"/>
      <c r="AC149" s="51"/>
      <c r="AD149" s="51"/>
      <c r="AE149" s="10"/>
      <c r="AF149" s="10"/>
      <c r="AG149" s="10"/>
      <c r="AH149" s="10"/>
      <c r="AI149" s="10"/>
      <c r="AJ149" s="10"/>
      <c r="AK149" s="10"/>
      <c r="AL149" s="10"/>
      <c r="AM149" s="10"/>
    </row>
    <row r="150" spans="1:39" ht="21.75" customHeight="1" x14ac:dyDescent="0.25">
      <c r="A150" s="61"/>
      <c r="B150" s="62" t="s">
        <v>47</v>
      </c>
      <c r="C150" s="61"/>
      <c r="D150" s="63">
        <f t="shared" ref="D150:AD150" si="87">D151+D161+D171+D181+D191+D201</f>
        <v>47280</v>
      </c>
      <c r="E150" s="63">
        <f t="shared" si="87"/>
        <v>94560</v>
      </c>
      <c r="F150" s="63">
        <f t="shared" si="87"/>
        <v>141840</v>
      </c>
      <c r="G150" s="63">
        <f t="shared" si="87"/>
        <v>236400</v>
      </c>
      <c r="H150" s="63">
        <f t="shared" si="87"/>
        <v>236400</v>
      </c>
      <c r="I150" s="63">
        <f t="shared" si="87"/>
        <v>378240</v>
      </c>
      <c r="J150" s="63">
        <f t="shared" si="87"/>
        <v>330960</v>
      </c>
      <c r="K150" s="63">
        <f t="shared" si="87"/>
        <v>283680</v>
      </c>
      <c r="L150" s="63">
        <f t="shared" si="87"/>
        <v>236400</v>
      </c>
      <c r="M150" s="63">
        <f t="shared" si="87"/>
        <v>236400</v>
      </c>
      <c r="N150" s="63">
        <f t="shared" si="87"/>
        <v>283680</v>
      </c>
      <c r="O150" s="63">
        <f t="shared" si="87"/>
        <v>378240</v>
      </c>
      <c r="P150" s="63">
        <f t="shared" si="87"/>
        <v>472800</v>
      </c>
      <c r="Q150" s="63">
        <f t="shared" si="87"/>
        <v>567360</v>
      </c>
      <c r="R150" s="63">
        <f t="shared" si="87"/>
        <v>756480</v>
      </c>
      <c r="S150" s="63">
        <f t="shared" si="87"/>
        <v>709200</v>
      </c>
      <c r="T150" s="63">
        <f t="shared" si="87"/>
        <v>851040</v>
      </c>
      <c r="U150" s="63">
        <f t="shared" si="87"/>
        <v>945600</v>
      </c>
      <c r="V150" s="63">
        <f t="shared" si="87"/>
        <v>756480</v>
      </c>
      <c r="W150" s="63">
        <f t="shared" si="87"/>
        <v>661920</v>
      </c>
      <c r="X150" s="63">
        <f t="shared" si="87"/>
        <v>520080</v>
      </c>
      <c r="Y150" s="63">
        <f t="shared" si="87"/>
        <v>520080</v>
      </c>
      <c r="Z150" s="63">
        <f t="shared" si="87"/>
        <v>567360</v>
      </c>
      <c r="AA150" s="63">
        <f t="shared" si="87"/>
        <v>945600</v>
      </c>
      <c r="AB150" s="63">
        <f t="shared" si="87"/>
        <v>1040160</v>
      </c>
      <c r="AC150" s="63">
        <f t="shared" si="87"/>
        <v>1182000</v>
      </c>
      <c r="AD150" s="63">
        <f t="shared" si="87"/>
        <v>1418400</v>
      </c>
      <c r="AE150" s="64"/>
      <c r="AF150" s="64"/>
      <c r="AG150" s="64"/>
      <c r="AH150" s="64"/>
      <c r="AI150" s="64"/>
      <c r="AJ150" s="64"/>
      <c r="AK150" s="64"/>
      <c r="AL150" s="64"/>
      <c r="AM150" s="64"/>
    </row>
    <row r="151" spans="1:39" ht="21.75" customHeight="1" collapsed="1" x14ac:dyDescent="0.25">
      <c r="A151" s="65"/>
      <c r="B151" s="539" t="s">
        <v>432</v>
      </c>
      <c r="C151" s="67" t="s">
        <v>31</v>
      </c>
      <c r="D151" s="68">
        <f t="shared" ref="D151:AD151" si="88">$C160*D159</f>
        <v>6375</v>
      </c>
      <c r="E151" s="68">
        <f t="shared" si="88"/>
        <v>12750</v>
      </c>
      <c r="F151" s="68">
        <f t="shared" si="88"/>
        <v>19125</v>
      </c>
      <c r="G151" s="68">
        <f t="shared" si="88"/>
        <v>31875</v>
      </c>
      <c r="H151" s="68">
        <f t="shared" si="88"/>
        <v>31875</v>
      </c>
      <c r="I151" s="68">
        <f t="shared" si="88"/>
        <v>51000</v>
      </c>
      <c r="J151" s="68">
        <f t="shared" si="88"/>
        <v>44625</v>
      </c>
      <c r="K151" s="68">
        <f t="shared" si="88"/>
        <v>38250</v>
      </c>
      <c r="L151" s="68">
        <f t="shared" si="88"/>
        <v>31875</v>
      </c>
      <c r="M151" s="68">
        <f t="shared" si="88"/>
        <v>31875</v>
      </c>
      <c r="N151" s="68">
        <f t="shared" si="88"/>
        <v>38250</v>
      </c>
      <c r="O151" s="68">
        <f t="shared" si="88"/>
        <v>51000</v>
      </c>
      <c r="P151" s="68">
        <f t="shared" si="88"/>
        <v>63750</v>
      </c>
      <c r="Q151" s="68">
        <f t="shared" si="88"/>
        <v>76500</v>
      </c>
      <c r="R151" s="68">
        <f t="shared" si="88"/>
        <v>102000</v>
      </c>
      <c r="S151" s="68">
        <f t="shared" si="88"/>
        <v>95625</v>
      </c>
      <c r="T151" s="68">
        <f t="shared" si="88"/>
        <v>114750</v>
      </c>
      <c r="U151" s="68">
        <f t="shared" si="88"/>
        <v>127500</v>
      </c>
      <c r="V151" s="68">
        <f t="shared" si="88"/>
        <v>102000</v>
      </c>
      <c r="W151" s="68">
        <f t="shared" si="88"/>
        <v>89250</v>
      </c>
      <c r="X151" s="68">
        <f t="shared" si="88"/>
        <v>70125</v>
      </c>
      <c r="Y151" s="68">
        <f t="shared" si="88"/>
        <v>70125</v>
      </c>
      <c r="Z151" s="68">
        <f t="shared" si="88"/>
        <v>76500</v>
      </c>
      <c r="AA151" s="68">
        <f t="shared" si="88"/>
        <v>127500</v>
      </c>
      <c r="AB151" s="68">
        <f t="shared" si="88"/>
        <v>140250</v>
      </c>
      <c r="AC151" s="68">
        <f t="shared" si="88"/>
        <v>159375</v>
      </c>
      <c r="AD151" s="68">
        <f t="shared" si="88"/>
        <v>191250</v>
      </c>
      <c r="AE151" s="64"/>
      <c r="AF151" s="64"/>
      <c r="AG151" s="64"/>
      <c r="AH151" s="64"/>
      <c r="AI151" s="64"/>
      <c r="AJ151" s="64"/>
      <c r="AK151" s="64"/>
      <c r="AL151" s="64"/>
      <c r="AM151" s="64"/>
    </row>
    <row r="152" spans="1:39" ht="16.5" hidden="1" customHeight="1" outlineLevel="1" x14ac:dyDescent="0.2">
      <c r="A152" s="16"/>
      <c r="B152" s="46" t="s">
        <v>33</v>
      </c>
      <c r="C152" s="7" t="s">
        <v>34</v>
      </c>
      <c r="D152" s="47">
        <v>0.1</v>
      </c>
      <c r="E152" s="47">
        <v>0.2</v>
      </c>
      <c r="F152" s="47">
        <v>0.3</v>
      </c>
      <c r="G152" s="47">
        <v>0.5</v>
      </c>
      <c r="H152" s="47">
        <v>0.5</v>
      </c>
      <c r="I152" s="47">
        <v>0.8</v>
      </c>
      <c r="J152" s="47">
        <v>0.7</v>
      </c>
      <c r="K152" s="47">
        <v>0.6</v>
      </c>
      <c r="L152" s="47">
        <v>0.5</v>
      </c>
      <c r="M152" s="47">
        <v>0.5</v>
      </c>
      <c r="N152" s="47">
        <v>0.6</v>
      </c>
      <c r="O152" s="47">
        <v>0.8</v>
      </c>
      <c r="P152" s="47">
        <v>1</v>
      </c>
      <c r="Q152" s="47">
        <v>1.2</v>
      </c>
      <c r="R152" s="47">
        <v>1.6</v>
      </c>
      <c r="S152" s="47">
        <v>1.5</v>
      </c>
      <c r="T152" s="47">
        <v>1.8</v>
      </c>
      <c r="U152" s="47">
        <v>2</v>
      </c>
      <c r="V152" s="47">
        <v>1.6</v>
      </c>
      <c r="W152" s="47">
        <v>1.4</v>
      </c>
      <c r="X152" s="47">
        <v>1.1000000000000001</v>
      </c>
      <c r="Y152" s="47">
        <v>1.1000000000000001</v>
      </c>
      <c r="Z152" s="47">
        <v>1.2</v>
      </c>
      <c r="AA152" s="47">
        <v>2</v>
      </c>
      <c r="AB152" s="47">
        <v>2.2000000000000002</v>
      </c>
      <c r="AC152" s="47">
        <v>2.5</v>
      </c>
      <c r="AD152" s="47">
        <v>3</v>
      </c>
      <c r="AE152" s="10"/>
      <c r="AF152" s="10"/>
      <c r="AG152" s="10"/>
      <c r="AH152" s="10"/>
      <c r="AI152" s="10"/>
      <c r="AJ152" s="10"/>
      <c r="AK152" s="10"/>
      <c r="AL152" s="10"/>
      <c r="AM152" s="10"/>
    </row>
    <row r="153" spans="1:39" ht="15.75" hidden="1" customHeight="1" outlineLevel="1" x14ac:dyDescent="0.2">
      <c r="A153" s="48"/>
      <c r="B153" s="49" t="s">
        <v>35</v>
      </c>
      <c r="C153" s="50">
        <v>5000</v>
      </c>
      <c r="D153" s="51">
        <f t="shared" ref="D153:AD153" si="89">ROUND(D152*$C153,0)</f>
        <v>500</v>
      </c>
      <c r="E153" s="51">
        <f t="shared" si="89"/>
        <v>1000</v>
      </c>
      <c r="F153" s="51">
        <f t="shared" si="89"/>
        <v>1500</v>
      </c>
      <c r="G153" s="51">
        <f t="shared" si="89"/>
        <v>2500</v>
      </c>
      <c r="H153" s="51">
        <f t="shared" si="89"/>
        <v>2500</v>
      </c>
      <c r="I153" s="51">
        <f t="shared" si="89"/>
        <v>4000</v>
      </c>
      <c r="J153" s="51">
        <f t="shared" si="89"/>
        <v>3500</v>
      </c>
      <c r="K153" s="51">
        <f t="shared" si="89"/>
        <v>3000</v>
      </c>
      <c r="L153" s="51">
        <f t="shared" si="89"/>
        <v>2500</v>
      </c>
      <c r="M153" s="51">
        <f t="shared" si="89"/>
        <v>2500</v>
      </c>
      <c r="N153" s="51">
        <f t="shared" si="89"/>
        <v>3000</v>
      </c>
      <c r="O153" s="51">
        <f t="shared" si="89"/>
        <v>4000</v>
      </c>
      <c r="P153" s="51">
        <f t="shared" si="89"/>
        <v>5000</v>
      </c>
      <c r="Q153" s="51">
        <f t="shared" si="89"/>
        <v>6000</v>
      </c>
      <c r="R153" s="51">
        <f t="shared" si="89"/>
        <v>8000</v>
      </c>
      <c r="S153" s="51">
        <f t="shared" si="89"/>
        <v>7500</v>
      </c>
      <c r="T153" s="51">
        <f t="shared" si="89"/>
        <v>9000</v>
      </c>
      <c r="U153" s="51">
        <f t="shared" si="89"/>
        <v>10000</v>
      </c>
      <c r="V153" s="51">
        <f t="shared" si="89"/>
        <v>8000</v>
      </c>
      <c r="W153" s="51">
        <f t="shared" si="89"/>
        <v>7000</v>
      </c>
      <c r="X153" s="51">
        <f t="shared" si="89"/>
        <v>5500</v>
      </c>
      <c r="Y153" s="51">
        <f t="shared" si="89"/>
        <v>5500</v>
      </c>
      <c r="Z153" s="51">
        <f t="shared" si="89"/>
        <v>6000</v>
      </c>
      <c r="AA153" s="51">
        <f t="shared" si="89"/>
        <v>10000</v>
      </c>
      <c r="AB153" s="51">
        <f t="shared" si="89"/>
        <v>11000</v>
      </c>
      <c r="AC153" s="51">
        <f t="shared" si="89"/>
        <v>12500</v>
      </c>
      <c r="AD153" s="51">
        <f t="shared" si="89"/>
        <v>15000</v>
      </c>
      <c r="AE153" s="10"/>
      <c r="AF153" s="10"/>
      <c r="AG153" s="10"/>
      <c r="AH153" s="10"/>
      <c r="AI153" s="10"/>
      <c r="AJ153" s="10"/>
      <c r="AK153" s="10"/>
      <c r="AL153" s="10"/>
      <c r="AM153" s="10"/>
    </row>
    <row r="154" spans="1:39" ht="15.75" hidden="1" customHeight="1" outlineLevel="1" x14ac:dyDescent="0.2">
      <c r="A154" s="48"/>
      <c r="B154" s="49" t="s">
        <v>36</v>
      </c>
      <c r="C154" s="52">
        <v>0.1</v>
      </c>
      <c r="D154" s="22"/>
      <c r="E154" s="22"/>
      <c r="F154" s="22"/>
      <c r="G154" s="22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  <c r="AA154" s="22"/>
      <c r="AB154" s="22"/>
      <c r="AC154" s="22"/>
      <c r="AD154" s="22"/>
      <c r="AE154" s="10"/>
      <c r="AF154" s="10"/>
      <c r="AG154" s="10"/>
      <c r="AH154" s="10"/>
      <c r="AI154" s="10"/>
      <c r="AJ154" s="10"/>
      <c r="AK154" s="10"/>
      <c r="AL154" s="10"/>
      <c r="AM154" s="10"/>
    </row>
    <row r="155" spans="1:39" ht="15.75" hidden="1" customHeight="1" outlineLevel="1" x14ac:dyDescent="0.2">
      <c r="A155" s="48"/>
      <c r="B155" s="53" t="s">
        <v>37</v>
      </c>
      <c r="C155" s="54"/>
      <c r="D155" s="51">
        <f t="shared" ref="D155:AD155" si="90">ROUND(D153*$C154,0)</f>
        <v>50</v>
      </c>
      <c r="E155" s="51">
        <f t="shared" si="90"/>
        <v>100</v>
      </c>
      <c r="F155" s="51">
        <f t="shared" si="90"/>
        <v>150</v>
      </c>
      <c r="G155" s="51">
        <f t="shared" si="90"/>
        <v>250</v>
      </c>
      <c r="H155" s="51">
        <f t="shared" si="90"/>
        <v>250</v>
      </c>
      <c r="I155" s="51">
        <f t="shared" si="90"/>
        <v>400</v>
      </c>
      <c r="J155" s="51">
        <f t="shared" si="90"/>
        <v>350</v>
      </c>
      <c r="K155" s="51">
        <f t="shared" si="90"/>
        <v>300</v>
      </c>
      <c r="L155" s="51">
        <f t="shared" si="90"/>
        <v>250</v>
      </c>
      <c r="M155" s="51">
        <f t="shared" si="90"/>
        <v>250</v>
      </c>
      <c r="N155" s="51">
        <f t="shared" si="90"/>
        <v>300</v>
      </c>
      <c r="O155" s="51">
        <f t="shared" si="90"/>
        <v>400</v>
      </c>
      <c r="P155" s="51">
        <f t="shared" si="90"/>
        <v>500</v>
      </c>
      <c r="Q155" s="51">
        <f t="shared" si="90"/>
        <v>600</v>
      </c>
      <c r="R155" s="51">
        <f t="shared" si="90"/>
        <v>800</v>
      </c>
      <c r="S155" s="51">
        <f t="shared" si="90"/>
        <v>750</v>
      </c>
      <c r="T155" s="51">
        <f t="shared" si="90"/>
        <v>900</v>
      </c>
      <c r="U155" s="51">
        <f t="shared" si="90"/>
        <v>1000</v>
      </c>
      <c r="V155" s="51">
        <f t="shared" si="90"/>
        <v>800</v>
      </c>
      <c r="W155" s="51">
        <f t="shared" si="90"/>
        <v>700</v>
      </c>
      <c r="X155" s="51">
        <f t="shared" si="90"/>
        <v>550</v>
      </c>
      <c r="Y155" s="51">
        <f t="shared" si="90"/>
        <v>550</v>
      </c>
      <c r="Z155" s="51">
        <f t="shared" si="90"/>
        <v>600</v>
      </c>
      <c r="AA155" s="51">
        <f t="shared" si="90"/>
        <v>1000</v>
      </c>
      <c r="AB155" s="51">
        <f t="shared" si="90"/>
        <v>1100</v>
      </c>
      <c r="AC155" s="51">
        <f t="shared" si="90"/>
        <v>1250</v>
      </c>
      <c r="AD155" s="51">
        <f t="shared" si="90"/>
        <v>1500</v>
      </c>
      <c r="AE155" s="10"/>
      <c r="AF155" s="10"/>
      <c r="AG155" s="10"/>
      <c r="AH155" s="10"/>
      <c r="AI155" s="10"/>
      <c r="AJ155" s="10"/>
      <c r="AK155" s="10"/>
      <c r="AL155" s="10"/>
      <c r="AM155" s="10"/>
    </row>
    <row r="156" spans="1:39" ht="15.75" hidden="1" customHeight="1" outlineLevel="1" x14ac:dyDescent="0.2">
      <c r="A156" s="16"/>
      <c r="B156" s="49" t="s">
        <v>38</v>
      </c>
      <c r="C156" s="52">
        <v>0.2</v>
      </c>
      <c r="D156" s="51"/>
      <c r="E156" s="51"/>
      <c r="F156" s="51"/>
      <c r="G156" s="51"/>
      <c r="H156" s="51"/>
      <c r="I156" s="51"/>
      <c r="J156" s="51"/>
      <c r="K156" s="51"/>
      <c r="L156" s="51"/>
      <c r="M156" s="51"/>
      <c r="N156" s="51"/>
      <c r="O156" s="51"/>
      <c r="P156" s="51"/>
      <c r="Q156" s="51"/>
      <c r="R156" s="51"/>
      <c r="S156" s="51"/>
      <c r="T156" s="51"/>
      <c r="U156" s="51"/>
      <c r="V156" s="51"/>
      <c r="W156" s="51"/>
      <c r="X156" s="51"/>
      <c r="Y156" s="51"/>
      <c r="Z156" s="51"/>
      <c r="AA156" s="51"/>
      <c r="AB156" s="51"/>
      <c r="AC156" s="51"/>
      <c r="AD156" s="51"/>
      <c r="AE156" s="10"/>
      <c r="AF156" s="10"/>
      <c r="AG156" s="10"/>
      <c r="AH156" s="10"/>
      <c r="AI156" s="10"/>
      <c r="AJ156" s="10"/>
      <c r="AK156" s="10"/>
      <c r="AL156" s="10"/>
      <c r="AM156" s="10"/>
    </row>
    <row r="157" spans="1:39" ht="15.75" hidden="1" customHeight="1" outlineLevel="1" x14ac:dyDescent="0.2">
      <c r="A157" s="48"/>
      <c r="B157" s="53" t="s">
        <v>39</v>
      </c>
      <c r="C157" s="56"/>
      <c r="D157" s="51">
        <f t="shared" ref="D157:AD157" si="91">ROUND(D155*$C156,0)</f>
        <v>10</v>
      </c>
      <c r="E157" s="51">
        <f t="shared" si="91"/>
        <v>20</v>
      </c>
      <c r="F157" s="51">
        <f t="shared" si="91"/>
        <v>30</v>
      </c>
      <c r="G157" s="51">
        <f t="shared" si="91"/>
        <v>50</v>
      </c>
      <c r="H157" s="51">
        <f t="shared" si="91"/>
        <v>50</v>
      </c>
      <c r="I157" s="51">
        <f t="shared" si="91"/>
        <v>80</v>
      </c>
      <c r="J157" s="51">
        <f t="shared" si="91"/>
        <v>70</v>
      </c>
      <c r="K157" s="51">
        <f t="shared" si="91"/>
        <v>60</v>
      </c>
      <c r="L157" s="51">
        <f t="shared" si="91"/>
        <v>50</v>
      </c>
      <c r="M157" s="51">
        <f t="shared" si="91"/>
        <v>50</v>
      </c>
      <c r="N157" s="51">
        <f t="shared" si="91"/>
        <v>60</v>
      </c>
      <c r="O157" s="51">
        <f t="shared" si="91"/>
        <v>80</v>
      </c>
      <c r="P157" s="51">
        <f t="shared" si="91"/>
        <v>100</v>
      </c>
      <c r="Q157" s="51">
        <f t="shared" si="91"/>
        <v>120</v>
      </c>
      <c r="R157" s="51">
        <f t="shared" si="91"/>
        <v>160</v>
      </c>
      <c r="S157" s="51">
        <f t="shared" si="91"/>
        <v>150</v>
      </c>
      <c r="T157" s="51">
        <f t="shared" si="91"/>
        <v>180</v>
      </c>
      <c r="U157" s="51">
        <f t="shared" si="91"/>
        <v>200</v>
      </c>
      <c r="V157" s="51">
        <f t="shared" si="91"/>
        <v>160</v>
      </c>
      <c r="W157" s="51">
        <f t="shared" si="91"/>
        <v>140</v>
      </c>
      <c r="X157" s="51">
        <f t="shared" si="91"/>
        <v>110</v>
      </c>
      <c r="Y157" s="51">
        <f t="shared" si="91"/>
        <v>110</v>
      </c>
      <c r="Z157" s="51">
        <f t="shared" si="91"/>
        <v>120</v>
      </c>
      <c r="AA157" s="51">
        <f t="shared" si="91"/>
        <v>200</v>
      </c>
      <c r="AB157" s="51">
        <f t="shared" si="91"/>
        <v>220</v>
      </c>
      <c r="AC157" s="51">
        <f t="shared" si="91"/>
        <v>250</v>
      </c>
      <c r="AD157" s="51">
        <f t="shared" si="91"/>
        <v>300</v>
      </c>
      <c r="AE157" s="10"/>
      <c r="AF157" s="10"/>
      <c r="AG157" s="10"/>
      <c r="AH157" s="10"/>
      <c r="AI157" s="10"/>
      <c r="AJ157" s="10"/>
      <c r="AK157" s="10"/>
      <c r="AL157" s="10"/>
      <c r="AM157" s="10"/>
    </row>
    <row r="158" spans="1:39" ht="15.75" hidden="1" customHeight="1" outlineLevel="1" x14ac:dyDescent="0.2">
      <c r="A158" s="16"/>
      <c r="B158" s="49" t="s">
        <v>40</v>
      </c>
      <c r="C158" s="52">
        <v>0.3</v>
      </c>
      <c r="D158" s="51"/>
      <c r="E158" s="51"/>
      <c r="F158" s="51"/>
      <c r="G158" s="51"/>
      <c r="H158" s="51"/>
      <c r="I158" s="51"/>
      <c r="J158" s="51"/>
      <c r="K158" s="51"/>
      <c r="L158" s="51"/>
      <c r="M158" s="51"/>
      <c r="N158" s="51"/>
      <c r="O158" s="51"/>
      <c r="P158" s="51"/>
      <c r="Q158" s="51"/>
      <c r="R158" s="51"/>
      <c r="S158" s="51"/>
      <c r="T158" s="51"/>
      <c r="U158" s="51"/>
      <c r="V158" s="51"/>
      <c r="W158" s="51"/>
      <c r="X158" s="51"/>
      <c r="Y158" s="51"/>
      <c r="Z158" s="51"/>
      <c r="AA158" s="51"/>
      <c r="AB158" s="51"/>
      <c r="AC158" s="51"/>
      <c r="AD158" s="51"/>
      <c r="AE158" s="10"/>
      <c r="AF158" s="10"/>
      <c r="AG158" s="10"/>
      <c r="AH158" s="10"/>
      <c r="AI158" s="10"/>
      <c r="AJ158" s="10"/>
      <c r="AK158" s="10"/>
      <c r="AL158" s="10"/>
      <c r="AM158" s="10"/>
    </row>
    <row r="159" spans="1:39" ht="15.75" hidden="1" customHeight="1" outlineLevel="1" x14ac:dyDescent="0.2">
      <c r="A159" s="16"/>
      <c r="B159" s="53" t="s">
        <v>41</v>
      </c>
      <c r="C159" s="56"/>
      <c r="D159" s="51">
        <f t="shared" ref="D159:AD159" si="92">ROUND(D157*$C158,0)</f>
        <v>3</v>
      </c>
      <c r="E159" s="51">
        <f t="shared" si="92"/>
        <v>6</v>
      </c>
      <c r="F159" s="51">
        <f t="shared" si="92"/>
        <v>9</v>
      </c>
      <c r="G159" s="51">
        <f t="shared" si="92"/>
        <v>15</v>
      </c>
      <c r="H159" s="51">
        <f t="shared" si="92"/>
        <v>15</v>
      </c>
      <c r="I159" s="51">
        <f t="shared" si="92"/>
        <v>24</v>
      </c>
      <c r="J159" s="51">
        <f t="shared" si="92"/>
        <v>21</v>
      </c>
      <c r="K159" s="51">
        <f t="shared" si="92"/>
        <v>18</v>
      </c>
      <c r="L159" s="51">
        <f t="shared" si="92"/>
        <v>15</v>
      </c>
      <c r="M159" s="51">
        <f t="shared" si="92"/>
        <v>15</v>
      </c>
      <c r="N159" s="51">
        <f t="shared" si="92"/>
        <v>18</v>
      </c>
      <c r="O159" s="51">
        <f t="shared" si="92"/>
        <v>24</v>
      </c>
      <c r="P159" s="51">
        <f t="shared" si="92"/>
        <v>30</v>
      </c>
      <c r="Q159" s="51">
        <f t="shared" si="92"/>
        <v>36</v>
      </c>
      <c r="R159" s="51">
        <f t="shared" si="92"/>
        <v>48</v>
      </c>
      <c r="S159" s="51">
        <f t="shared" si="92"/>
        <v>45</v>
      </c>
      <c r="T159" s="51">
        <f t="shared" si="92"/>
        <v>54</v>
      </c>
      <c r="U159" s="51">
        <f t="shared" si="92"/>
        <v>60</v>
      </c>
      <c r="V159" s="51">
        <f t="shared" si="92"/>
        <v>48</v>
      </c>
      <c r="W159" s="51">
        <f t="shared" si="92"/>
        <v>42</v>
      </c>
      <c r="X159" s="51">
        <f t="shared" si="92"/>
        <v>33</v>
      </c>
      <c r="Y159" s="51">
        <f t="shared" si="92"/>
        <v>33</v>
      </c>
      <c r="Z159" s="51">
        <f t="shared" si="92"/>
        <v>36</v>
      </c>
      <c r="AA159" s="51">
        <f t="shared" si="92"/>
        <v>60</v>
      </c>
      <c r="AB159" s="51">
        <f t="shared" si="92"/>
        <v>66</v>
      </c>
      <c r="AC159" s="51">
        <f t="shared" si="92"/>
        <v>75</v>
      </c>
      <c r="AD159" s="51">
        <f t="shared" si="92"/>
        <v>90</v>
      </c>
      <c r="AE159" s="10"/>
      <c r="AF159" s="10"/>
      <c r="AG159" s="10"/>
      <c r="AH159" s="10"/>
      <c r="AI159" s="10"/>
      <c r="AJ159" s="10"/>
      <c r="AK159" s="10"/>
      <c r="AL159" s="10"/>
      <c r="AM159" s="10"/>
    </row>
    <row r="160" spans="1:39" ht="15.75" hidden="1" customHeight="1" outlineLevel="1" x14ac:dyDescent="0.2">
      <c r="A160" s="16"/>
      <c r="B160" s="53" t="s">
        <v>44</v>
      </c>
      <c r="C160" s="58">
        <v>2125</v>
      </c>
      <c r="D160" s="51"/>
      <c r="E160" s="51"/>
      <c r="F160" s="51"/>
      <c r="G160" s="51"/>
      <c r="H160" s="51"/>
      <c r="I160" s="51"/>
      <c r="J160" s="51"/>
      <c r="K160" s="51"/>
      <c r="L160" s="51"/>
      <c r="M160" s="51"/>
      <c r="N160" s="51"/>
      <c r="O160" s="51"/>
      <c r="P160" s="51"/>
      <c r="Q160" s="51"/>
      <c r="R160" s="51"/>
      <c r="S160" s="51"/>
      <c r="T160" s="51"/>
      <c r="U160" s="51"/>
      <c r="V160" s="51"/>
      <c r="W160" s="51"/>
      <c r="X160" s="51"/>
      <c r="Y160" s="51"/>
      <c r="Z160" s="51"/>
      <c r="AA160" s="51"/>
      <c r="AB160" s="51"/>
      <c r="AC160" s="51"/>
      <c r="AD160" s="51"/>
      <c r="AE160" s="10"/>
      <c r="AF160" s="10"/>
      <c r="AG160" s="10"/>
      <c r="AH160" s="10"/>
      <c r="AI160" s="10"/>
      <c r="AJ160" s="10"/>
      <c r="AK160" s="10"/>
      <c r="AL160" s="10"/>
      <c r="AM160" s="10"/>
    </row>
    <row r="161" spans="1:39" ht="21.75" customHeight="1" collapsed="1" x14ac:dyDescent="0.25">
      <c r="A161" s="65"/>
      <c r="B161" s="539" t="s">
        <v>433</v>
      </c>
      <c r="C161" s="67" t="s">
        <v>31</v>
      </c>
      <c r="D161" s="68">
        <f t="shared" ref="D161:AD161" si="93">$C170*D169</f>
        <v>6375</v>
      </c>
      <c r="E161" s="68">
        <f t="shared" si="93"/>
        <v>12750</v>
      </c>
      <c r="F161" s="68">
        <f t="shared" si="93"/>
        <v>19125</v>
      </c>
      <c r="G161" s="68">
        <f t="shared" si="93"/>
        <v>31875</v>
      </c>
      <c r="H161" s="68">
        <f t="shared" si="93"/>
        <v>31875</v>
      </c>
      <c r="I161" s="68">
        <f t="shared" si="93"/>
        <v>51000</v>
      </c>
      <c r="J161" s="68">
        <f t="shared" si="93"/>
        <v>44625</v>
      </c>
      <c r="K161" s="68">
        <f t="shared" si="93"/>
        <v>38250</v>
      </c>
      <c r="L161" s="68">
        <f t="shared" si="93"/>
        <v>31875</v>
      </c>
      <c r="M161" s="68">
        <f t="shared" si="93"/>
        <v>31875</v>
      </c>
      <c r="N161" s="68">
        <f t="shared" si="93"/>
        <v>38250</v>
      </c>
      <c r="O161" s="68">
        <f t="shared" si="93"/>
        <v>51000</v>
      </c>
      <c r="P161" s="68">
        <f t="shared" si="93"/>
        <v>63750</v>
      </c>
      <c r="Q161" s="68">
        <f t="shared" si="93"/>
        <v>76500</v>
      </c>
      <c r="R161" s="68">
        <f t="shared" si="93"/>
        <v>102000</v>
      </c>
      <c r="S161" s="68">
        <f t="shared" si="93"/>
        <v>95625</v>
      </c>
      <c r="T161" s="68">
        <f t="shared" si="93"/>
        <v>114750</v>
      </c>
      <c r="U161" s="68">
        <f t="shared" si="93"/>
        <v>127500</v>
      </c>
      <c r="V161" s="68">
        <f t="shared" si="93"/>
        <v>102000</v>
      </c>
      <c r="W161" s="68">
        <f t="shared" si="93"/>
        <v>89250</v>
      </c>
      <c r="X161" s="68">
        <f t="shared" si="93"/>
        <v>70125</v>
      </c>
      <c r="Y161" s="68">
        <f t="shared" si="93"/>
        <v>70125</v>
      </c>
      <c r="Z161" s="68">
        <f t="shared" si="93"/>
        <v>76500</v>
      </c>
      <c r="AA161" s="68">
        <f t="shared" si="93"/>
        <v>127500</v>
      </c>
      <c r="AB161" s="68">
        <f t="shared" si="93"/>
        <v>140250</v>
      </c>
      <c r="AC161" s="68">
        <f t="shared" si="93"/>
        <v>159375</v>
      </c>
      <c r="AD161" s="68">
        <f t="shared" si="93"/>
        <v>191250</v>
      </c>
      <c r="AE161" s="64"/>
      <c r="AF161" s="64"/>
      <c r="AG161" s="64"/>
      <c r="AH161" s="64"/>
      <c r="AI161" s="64"/>
      <c r="AJ161" s="64"/>
      <c r="AK161" s="64"/>
      <c r="AL161" s="64"/>
      <c r="AM161" s="64"/>
    </row>
    <row r="162" spans="1:39" ht="16.5" hidden="1" customHeight="1" outlineLevel="1" x14ac:dyDescent="0.2">
      <c r="A162" s="16"/>
      <c r="B162" s="46" t="s">
        <v>33</v>
      </c>
      <c r="C162" s="7" t="s">
        <v>34</v>
      </c>
      <c r="D162" s="47">
        <v>0.1</v>
      </c>
      <c r="E162" s="47">
        <v>0.2</v>
      </c>
      <c r="F162" s="47">
        <v>0.3</v>
      </c>
      <c r="G162" s="47">
        <v>0.5</v>
      </c>
      <c r="H162" s="47">
        <v>0.5</v>
      </c>
      <c r="I162" s="47">
        <v>0.8</v>
      </c>
      <c r="J162" s="47">
        <v>0.7</v>
      </c>
      <c r="K162" s="47">
        <v>0.6</v>
      </c>
      <c r="L162" s="47">
        <v>0.5</v>
      </c>
      <c r="M162" s="47">
        <v>0.5</v>
      </c>
      <c r="N162" s="47">
        <v>0.6</v>
      </c>
      <c r="O162" s="47">
        <v>0.8</v>
      </c>
      <c r="P162" s="47">
        <v>1</v>
      </c>
      <c r="Q162" s="47">
        <v>1.2</v>
      </c>
      <c r="R162" s="47">
        <v>1.6</v>
      </c>
      <c r="S162" s="47">
        <v>1.5</v>
      </c>
      <c r="T162" s="47">
        <v>1.8</v>
      </c>
      <c r="U162" s="47">
        <v>2</v>
      </c>
      <c r="V162" s="47">
        <v>1.6</v>
      </c>
      <c r="W162" s="47">
        <v>1.4</v>
      </c>
      <c r="X162" s="47">
        <v>1.1000000000000001</v>
      </c>
      <c r="Y162" s="47">
        <v>1.1000000000000001</v>
      </c>
      <c r="Z162" s="47">
        <v>1.2</v>
      </c>
      <c r="AA162" s="47">
        <v>2</v>
      </c>
      <c r="AB162" s="47">
        <v>2.2000000000000002</v>
      </c>
      <c r="AC162" s="47">
        <v>2.5</v>
      </c>
      <c r="AD162" s="47">
        <v>3</v>
      </c>
      <c r="AE162" s="10"/>
      <c r="AF162" s="10"/>
      <c r="AG162" s="10"/>
      <c r="AH162" s="10"/>
      <c r="AI162" s="10"/>
      <c r="AJ162" s="10"/>
      <c r="AK162" s="10"/>
      <c r="AL162" s="10"/>
      <c r="AM162" s="10"/>
    </row>
    <row r="163" spans="1:39" ht="15.75" hidden="1" customHeight="1" outlineLevel="1" x14ac:dyDescent="0.2">
      <c r="A163" s="48"/>
      <c r="B163" s="49" t="s">
        <v>35</v>
      </c>
      <c r="C163" s="50">
        <v>5000</v>
      </c>
      <c r="D163" s="51">
        <f t="shared" ref="D163:AD163" si="94">ROUND(D162*$C163,0)</f>
        <v>500</v>
      </c>
      <c r="E163" s="51">
        <f t="shared" si="94"/>
        <v>1000</v>
      </c>
      <c r="F163" s="51">
        <f t="shared" si="94"/>
        <v>1500</v>
      </c>
      <c r="G163" s="51">
        <f t="shared" si="94"/>
        <v>2500</v>
      </c>
      <c r="H163" s="51">
        <f t="shared" si="94"/>
        <v>2500</v>
      </c>
      <c r="I163" s="51">
        <f t="shared" si="94"/>
        <v>4000</v>
      </c>
      <c r="J163" s="51">
        <f t="shared" si="94"/>
        <v>3500</v>
      </c>
      <c r="K163" s="51">
        <f t="shared" si="94"/>
        <v>3000</v>
      </c>
      <c r="L163" s="51">
        <f t="shared" si="94"/>
        <v>2500</v>
      </c>
      <c r="M163" s="51">
        <f t="shared" si="94"/>
        <v>2500</v>
      </c>
      <c r="N163" s="51">
        <f t="shared" si="94"/>
        <v>3000</v>
      </c>
      <c r="O163" s="51">
        <f t="shared" si="94"/>
        <v>4000</v>
      </c>
      <c r="P163" s="51">
        <f t="shared" si="94"/>
        <v>5000</v>
      </c>
      <c r="Q163" s="51">
        <f t="shared" si="94"/>
        <v>6000</v>
      </c>
      <c r="R163" s="51">
        <f t="shared" si="94"/>
        <v>8000</v>
      </c>
      <c r="S163" s="51">
        <f t="shared" si="94"/>
        <v>7500</v>
      </c>
      <c r="T163" s="51">
        <f t="shared" si="94"/>
        <v>9000</v>
      </c>
      <c r="U163" s="51">
        <f t="shared" si="94"/>
        <v>10000</v>
      </c>
      <c r="V163" s="51">
        <f t="shared" si="94"/>
        <v>8000</v>
      </c>
      <c r="W163" s="51">
        <f t="shared" si="94"/>
        <v>7000</v>
      </c>
      <c r="X163" s="51">
        <f t="shared" si="94"/>
        <v>5500</v>
      </c>
      <c r="Y163" s="51">
        <f t="shared" si="94"/>
        <v>5500</v>
      </c>
      <c r="Z163" s="51">
        <f t="shared" si="94"/>
        <v>6000</v>
      </c>
      <c r="AA163" s="51">
        <f t="shared" si="94"/>
        <v>10000</v>
      </c>
      <c r="AB163" s="51">
        <f t="shared" si="94"/>
        <v>11000</v>
      </c>
      <c r="AC163" s="51">
        <f t="shared" si="94"/>
        <v>12500</v>
      </c>
      <c r="AD163" s="51">
        <f t="shared" si="94"/>
        <v>15000</v>
      </c>
      <c r="AE163" s="10"/>
      <c r="AF163" s="10"/>
      <c r="AG163" s="10"/>
      <c r="AH163" s="10"/>
      <c r="AI163" s="10"/>
      <c r="AJ163" s="10"/>
      <c r="AK163" s="10"/>
      <c r="AL163" s="10"/>
      <c r="AM163" s="10"/>
    </row>
    <row r="164" spans="1:39" ht="15.75" hidden="1" customHeight="1" outlineLevel="1" x14ac:dyDescent="0.2">
      <c r="A164" s="48"/>
      <c r="B164" s="49" t="s">
        <v>36</v>
      </c>
      <c r="C164" s="52">
        <v>0.1</v>
      </c>
      <c r="D164" s="22"/>
      <c r="E164" s="22"/>
      <c r="F164" s="22"/>
      <c r="G164" s="22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  <c r="AA164" s="22"/>
      <c r="AB164" s="22"/>
      <c r="AC164" s="22"/>
      <c r="AD164" s="22"/>
      <c r="AE164" s="10"/>
      <c r="AF164" s="10"/>
      <c r="AG164" s="10"/>
      <c r="AH164" s="10"/>
      <c r="AI164" s="10"/>
      <c r="AJ164" s="10"/>
      <c r="AK164" s="10"/>
      <c r="AL164" s="10"/>
      <c r="AM164" s="10"/>
    </row>
    <row r="165" spans="1:39" ht="15.75" hidden="1" customHeight="1" outlineLevel="1" x14ac:dyDescent="0.2">
      <c r="A165" s="48"/>
      <c r="B165" s="53" t="s">
        <v>37</v>
      </c>
      <c r="C165" s="54"/>
      <c r="D165" s="51">
        <f t="shared" ref="D165:AD165" si="95">ROUND(D163*$C164,0)</f>
        <v>50</v>
      </c>
      <c r="E165" s="51">
        <f t="shared" si="95"/>
        <v>100</v>
      </c>
      <c r="F165" s="51">
        <f t="shared" si="95"/>
        <v>150</v>
      </c>
      <c r="G165" s="51">
        <f t="shared" si="95"/>
        <v>250</v>
      </c>
      <c r="H165" s="51">
        <f t="shared" si="95"/>
        <v>250</v>
      </c>
      <c r="I165" s="51">
        <f t="shared" si="95"/>
        <v>400</v>
      </c>
      <c r="J165" s="51">
        <f t="shared" si="95"/>
        <v>350</v>
      </c>
      <c r="K165" s="51">
        <f t="shared" si="95"/>
        <v>300</v>
      </c>
      <c r="L165" s="51">
        <f t="shared" si="95"/>
        <v>250</v>
      </c>
      <c r="M165" s="51">
        <f t="shared" si="95"/>
        <v>250</v>
      </c>
      <c r="N165" s="51">
        <f t="shared" si="95"/>
        <v>300</v>
      </c>
      <c r="O165" s="51">
        <f t="shared" si="95"/>
        <v>400</v>
      </c>
      <c r="P165" s="51">
        <f t="shared" si="95"/>
        <v>500</v>
      </c>
      <c r="Q165" s="51">
        <f t="shared" si="95"/>
        <v>600</v>
      </c>
      <c r="R165" s="51">
        <f t="shared" si="95"/>
        <v>800</v>
      </c>
      <c r="S165" s="51">
        <f t="shared" si="95"/>
        <v>750</v>
      </c>
      <c r="T165" s="51">
        <f t="shared" si="95"/>
        <v>900</v>
      </c>
      <c r="U165" s="51">
        <f t="shared" si="95"/>
        <v>1000</v>
      </c>
      <c r="V165" s="51">
        <f t="shared" si="95"/>
        <v>800</v>
      </c>
      <c r="W165" s="51">
        <f t="shared" si="95"/>
        <v>700</v>
      </c>
      <c r="X165" s="51">
        <f t="shared" si="95"/>
        <v>550</v>
      </c>
      <c r="Y165" s="51">
        <f t="shared" si="95"/>
        <v>550</v>
      </c>
      <c r="Z165" s="51">
        <f t="shared" si="95"/>
        <v>600</v>
      </c>
      <c r="AA165" s="51">
        <f t="shared" si="95"/>
        <v>1000</v>
      </c>
      <c r="AB165" s="51">
        <f t="shared" si="95"/>
        <v>1100</v>
      </c>
      <c r="AC165" s="51">
        <f t="shared" si="95"/>
        <v>1250</v>
      </c>
      <c r="AD165" s="51">
        <f t="shared" si="95"/>
        <v>1500</v>
      </c>
      <c r="AE165" s="10"/>
      <c r="AF165" s="10"/>
      <c r="AG165" s="10"/>
      <c r="AH165" s="10"/>
      <c r="AI165" s="10"/>
      <c r="AJ165" s="10"/>
      <c r="AK165" s="10"/>
      <c r="AL165" s="10"/>
      <c r="AM165" s="10"/>
    </row>
    <row r="166" spans="1:39" ht="15.75" hidden="1" customHeight="1" outlineLevel="1" x14ac:dyDescent="0.2">
      <c r="A166" s="16"/>
      <c r="B166" s="49" t="s">
        <v>38</v>
      </c>
      <c r="C166" s="52">
        <v>0.2</v>
      </c>
      <c r="D166" s="51"/>
      <c r="E166" s="51"/>
      <c r="F166" s="51"/>
      <c r="G166" s="51"/>
      <c r="H166" s="51"/>
      <c r="I166" s="51"/>
      <c r="J166" s="51"/>
      <c r="K166" s="51"/>
      <c r="L166" s="51"/>
      <c r="M166" s="51"/>
      <c r="N166" s="51"/>
      <c r="O166" s="51"/>
      <c r="P166" s="51"/>
      <c r="Q166" s="51"/>
      <c r="R166" s="51"/>
      <c r="S166" s="51"/>
      <c r="T166" s="51"/>
      <c r="U166" s="51"/>
      <c r="V166" s="51"/>
      <c r="W166" s="51"/>
      <c r="X166" s="51"/>
      <c r="Y166" s="51"/>
      <c r="Z166" s="51"/>
      <c r="AA166" s="51"/>
      <c r="AB166" s="51"/>
      <c r="AC166" s="51"/>
      <c r="AD166" s="51"/>
      <c r="AE166" s="10"/>
      <c r="AF166" s="10"/>
      <c r="AG166" s="10"/>
      <c r="AH166" s="10"/>
      <c r="AI166" s="10"/>
      <c r="AJ166" s="10"/>
      <c r="AK166" s="10"/>
      <c r="AL166" s="10"/>
      <c r="AM166" s="10"/>
    </row>
    <row r="167" spans="1:39" ht="15.75" hidden="1" customHeight="1" outlineLevel="1" x14ac:dyDescent="0.2">
      <c r="A167" s="48"/>
      <c r="B167" s="53" t="s">
        <v>39</v>
      </c>
      <c r="C167" s="56"/>
      <c r="D167" s="51">
        <f t="shared" ref="D167:AD167" si="96">ROUND(D165*$C166,0)</f>
        <v>10</v>
      </c>
      <c r="E167" s="51">
        <f t="shared" si="96"/>
        <v>20</v>
      </c>
      <c r="F167" s="51">
        <f t="shared" si="96"/>
        <v>30</v>
      </c>
      <c r="G167" s="51">
        <f t="shared" si="96"/>
        <v>50</v>
      </c>
      <c r="H167" s="51">
        <f t="shared" si="96"/>
        <v>50</v>
      </c>
      <c r="I167" s="51">
        <f t="shared" si="96"/>
        <v>80</v>
      </c>
      <c r="J167" s="51">
        <f t="shared" si="96"/>
        <v>70</v>
      </c>
      <c r="K167" s="51">
        <f t="shared" si="96"/>
        <v>60</v>
      </c>
      <c r="L167" s="51">
        <f t="shared" si="96"/>
        <v>50</v>
      </c>
      <c r="M167" s="51">
        <f t="shared" si="96"/>
        <v>50</v>
      </c>
      <c r="N167" s="51">
        <f t="shared" si="96"/>
        <v>60</v>
      </c>
      <c r="O167" s="51">
        <f t="shared" si="96"/>
        <v>80</v>
      </c>
      <c r="P167" s="51">
        <f t="shared" si="96"/>
        <v>100</v>
      </c>
      <c r="Q167" s="51">
        <f t="shared" si="96"/>
        <v>120</v>
      </c>
      <c r="R167" s="51">
        <f t="shared" si="96"/>
        <v>160</v>
      </c>
      <c r="S167" s="51">
        <f t="shared" si="96"/>
        <v>150</v>
      </c>
      <c r="T167" s="51">
        <f t="shared" si="96"/>
        <v>180</v>
      </c>
      <c r="U167" s="51">
        <f t="shared" si="96"/>
        <v>200</v>
      </c>
      <c r="V167" s="51">
        <f t="shared" si="96"/>
        <v>160</v>
      </c>
      <c r="W167" s="51">
        <f t="shared" si="96"/>
        <v>140</v>
      </c>
      <c r="X167" s="51">
        <f t="shared" si="96"/>
        <v>110</v>
      </c>
      <c r="Y167" s="51">
        <f t="shared" si="96"/>
        <v>110</v>
      </c>
      <c r="Z167" s="51">
        <f t="shared" si="96"/>
        <v>120</v>
      </c>
      <c r="AA167" s="51">
        <f t="shared" si="96"/>
        <v>200</v>
      </c>
      <c r="AB167" s="51">
        <f t="shared" si="96"/>
        <v>220</v>
      </c>
      <c r="AC167" s="51">
        <f t="shared" si="96"/>
        <v>250</v>
      </c>
      <c r="AD167" s="51">
        <f t="shared" si="96"/>
        <v>300</v>
      </c>
      <c r="AE167" s="10"/>
      <c r="AF167" s="10"/>
      <c r="AG167" s="10"/>
      <c r="AH167" s="10"/>
      <c r="AI167" s="10"/>
      <c r="AJ167" s="10"/>
      <c r="AK167" s="10"/>
      <c r="AL167" s="10"/>
      <c r="AM167" s="10"/>
    </row>
    <row r="168" spans="1:39" ht="15.75" hidden="1" customHeight="1" outlineLevel="1" x14ac:dyDescent="0.2">
      <c r="A168" s="16"/>
      <c r="B168" s="49" t="s">
        <v>40</v>
      </c>
      <c r="C168" s="52">
        <v>0.3</v>
      </c>
      <c r="D168" s="51"/>
      <c r="E168" s="51"/>
      <c r="F168" s="51"/>
      <c r="G168" s="51"/>
      <c r="H168" s="51"/>
      <c r="I168" s="51"/>
      <c r="J168" s="51"/>
      <c r="K168" s="51"/>
      <c r="L168" s="51"/>
      <c r="M168" s="51"/>
      <c r="N168" s="51"/>
      <c r="O168" s="51"/>
      <c r="P168" s="51"/>
      <c r="Q168" s="51"/>
      <c r="R168" s="51"/>
      <c r="S168" s="51"/>
      <c r="T168" s="51"/>
      <c r="U168" s="51"/>
      <c r="V168" s="51"/>
      <c r="W168" s="51"/>
      <c r="X168" s="51"/>
      <c r="Y168" s="51"/>
      <c r="Z168" s="51"/>
      <c r="AA168" s="51"/>
      <c r="AB168" s="51"/>
      <c r="AC168" s="51"/>
      <c r="AD168" s="51"/>
      <c r="AE168" s="10"/>
      <c r="AF168" s="10"/>
      <c r="AG168" s="10"/>
      <c r="AH168" s="10"/>
      <c r="AI168" s="10"/>
      <c r="AJ168" s="10"/>
      <c r="AK168" s="10"/>
      <c r="AL168" s="10"/>
      <c r="AM168" s="10"/>
    </row>
    <row r="169" spans="1:39" ht="15.75" hidden="1" customHeight="1" outlineLevel="1" x14ac:dyDescent="0.2">
      <c r="A169" s="16"/>
      <c r="B169" s="53" t="s">
        <v>41</v>
      </c>
      <c r="C169" s="56"/>
      <c r="D169" s="51">
        <f t="shared" ref="D169:AD169" si="97">ROUND(D167*$C168,0)</f>
        <v>3</v>
      </c>
      <c r="E169" s="51">
        <f t="shared" si="97"/>
        <v>6</v>
      </c>
      <c r="F169" s="51">
        <f t="shared" si="97"/>
        <v>9</v>
      </c>
      <c r="G169" s="51">
        <f t="shared" si="97"/>
        <v>15</v>
      </c>
      <c r="H169" s="51">
        <f t="shared" si="97"/>
        <v>15</v>
      </c>
      <c r="I169" s="51">
        <f t="shared" si="97"/>
        <v>24</v>
      </c>
      <c r="J169" s="51">
        <f t="shared" si="97"/>
        <v>21</v>
      </c>
      <c r="K169" s="51">
        <f t="shared" si="97"/>
        <v>18</v>
      </c>
      <c r="L169" s="51">
        <f t="shared" si="97"/>
        <v>15</v>
      </c>
      <c r="M169" s="51">
        <f t="shared" si="97"/>
        <v>15</v>
      </c>
      <c r="N169" s="51">
        <f t="shared" si="97"/>
        <v>18</v>
      </c>
      <c r="O169" s="51">
        <f t="shared" si="97"/>
        <v>24</v>
      </c>
      <c r="P169" s="51">
        <f t="shared" si="97"/>
        <v>30</v>
      </c>
      <c r="Q169" s="51">
        <f t="shared" si="97"/>
        <v>36</v>
      </c>
      <c r="R169" s="51">
        <f t="shared" si="97"/>
        <v>48</v>
      </c>
      <c r="S169" s="51">
        <f t="shared" si="97"/>
        <v>45</v>
      </c>
      <c r="T169" s="51">
        <f t="shared" si="97"/>
        <v>54</v>
      </c>
      <c r="U169" s="51">
        <f t="shared" si="97"/>
        <v>60</v>
      </c>
      <c r="V169" s="51">
        <f t="shared" si="97"/>
        <v>48</v>
      </c>
      <c r="W169" s="51">
        <f t="shared" si="97"/>
        <v>42</v>
      </c>
      <c r="X169" s="51">
        <f t="shared" si="97"/>
        <v>33</v>
      </c>
      <c r="Y169" s="51">
        <f t="shared" si="97"/>
        <v>33</v>
      </c>
      <c r="Z169" s="51">
        <f t="shared" si="97"/>
        <v>36</v>
      </c>
      <c r="AA169" s="51">
        <f t="shared" si="97"/>
        <v>60</v>
      </c>
      <c r="AB169" s="51">
        <f t="shared" si="97"/>
        <v>66</v>
      </c>
      <c r="AC169" s="51">
        <f t="shared" si="97"/>
        <v>75</v>
      </c>
      <c r="AD169" s="51">
        <f t="shared" si="97"/>
        <v>90</v>
      </c>
      <c r="AE169" s="10"/>
      <c r="AF169" s="10"/>
      <c r="AG169" s="10"/>
      <c r="AH169" s="10"/>
      <c r="AI169" s="10"/>
      <c r="AJ169" s="10"/>
      <c r="AK169" s="10"/>
      <c r="AL169" s="10"/>
      <c r="AM169" s="10"/>
    </row>
    <row r="170" spans="1:39" ht="15.75" hidden="1" customHeight="1" outlineLevel="1" x14ac:dyDescent="0.2">
      <c r="A170" s="16"/>
      <c r="B170" s="53" t="s">
        <v>44</v>
      </c>
      <c r="C170" s="58">
        <v>2125</v>
      </c>
      <c r="D170" s="51"/>
      <c r="E170" s="51"/>
      <c r="F170" s="51"/>
      <c r="G170" s="51"/>
      <c r="H170" s="51"/>
      <c r="I170" s="51"/>
      <c r="J170" s="51"/>
      <c r="K170" s="51"/>
      <c r="L170" s="51"/>
      <c r="M170" s="51"/>
      <c r="N170" s="51"/>
      <c r="O170" s="51"/>
      <c r="P170" s="51"/>
      <c r="Q170" s="51"/>
      <c r="R170" s="51"/>
      <c r="S170" s="51"/>
      <c r="T170" s="51"/>
      <c r="U170" s="51"/>
      <c r="V170" s="51"/>
      <c r="W170" s="51"/>
      <c r="X170" s="51"/>
      <c r="Y170" s="51"/>
      <c r="Z170" s="51"/>
      <c r="AA170" s="51"/>
      <c r="AB170" s="51"/>
      <c r="AC170" s="51"/>
      <c r="AD170" s="51"/>
      <c r="AE170" s="10"/>
      <c r="AF170" s="10"/>
      <c r="AG170" s="10"/>
      <c r="AH170" s="10"/>
      <c r="AI170" s="10"/>
      <c r="AJ170" s="10"/>
      <c r="AK170" s="10"/>
      <c r="AL170" s="10"/>
      <c r="AM170" s="10"/>
    </row>
    <row r="171" spans="1:39" ht="21.75" customHeight="1" collapsed="1" x14ac:dyDescent="0.25">
      <c r="A171" s="65"/>
      <c r="B171" s="539" t="s">
        <v>434</v>
      </c>
      <c r="C171" s="67" t="s">
        <v>31</v>
      </c>
      <c r="D171" s="68">
        <f t="shared" ref="D171:AD171" si="98">$C180*D179</f>
        <v>7905</v>
      </c>
      <c r="E171" s="68">
        <f t="shared" si="98"/>
        <v>15810</v>
      </c>
      <c r="F171" s="68">
        <f t="shared" si="98"/>
        <v>23715</v>
      </c>
      <c r="G171" s="68">
        <f t="shared" si="98"/>
        <v>39525</v>
      </c>
      <c r="H171" s="68">
        <f t="shared" si="98"/>
        <v>39525</v>
      </c>
      <c r="I171" s="68">
        <f t="shared" si="98"/>
        <v>63240</v>
      </c>
      <c r="J171" s="68">
        <f t="shared" si="98"/>
        <v>55335</v>
      </c>
      <c r="K171" s="68">
        <f t="shared" si="98"/>
        <v>47430</v>
      </c>
      <c r="L171" s="68">
        <f t="shared" si="98"/>
        <v>39525</v>
      </c>
      <c r="M171" s="68">
        <f t="shared" si="98"/>
        <v>39525</v>
      </c>
      <c r="N171" s="68">
        <f t="shared" si="98"/>
        <v>47430</v>
      </c>
      <c r="O171" s="68">
        <f t="shared" si="98"/>
        <v>63240</v>
      </c>
      <c r="P171" s="68">
        <f t="shared" si="98"/>
        <v>79050</v>
      </c>
      <c r="Q171" s="68">
        <f t="shared" si="98"/>
        <v>94860</v>
      </c>
      <c r="R171" s="68">
        <f t="shared" si="98"/>
        <v>126480</v>
      </c>
      <c r="S171" s="68">
        <f t="shared" si="98"/>
        <v>118575</v>
      </c>
      <c r="T171" s="68">
        <f t="shared" si="98"/>
        <v>142290</v>
      </c>
      <c r="U171" s="68">
        <f t="shared" si="98"/>
        <v>158100</v>
      </c>
      <c r="V171" s="68">
        <f t="shared" si="98"/>
        <v>126480</v>
      </c>
      <c r="W171" s="68">
        <f t="shared" si="98"/>
        <v>110670</v>
      </c>
      <c r="X171" s="68">
        <f t="shared" si="98"/>
        <v>86955</v>
      </c>
      <c r="Y171" s="68">
        <f t="shared" si="98"/>
        <v>86955</v>
      </c>
      <c r="Z171" s="68">
        <f t="shared" si="98"/>
        <v>94860</v>
      </c>
      <c r="AA171" s="68">
        <f t="shared" si="98"/>
        <v>158100</v>
      </c>
      <c r="AB171" s="68">
        <f t="shared" si="98"/>
        <v>173910</v>
      </c>
      <c r="AC171" s="68">
        <f t="shared" si="98"/>
        <v>197625</v>
      </c>
      <c r="AD171" s="68">
        <f t="shared" si="98"/>
        <v>237150</v>
      </c>
      <c r="AE171" s="64"/>
      <c r="AF171" s="64"/>
      <c r="AG171" s="64"/>
      <c r="AH171" s="64"/>
      <c r="AI171" s="64"/>
      <c r="AJ171" s="64"/>
      <c r="AK171" s="64"/>
      <c r="AL171" s="64"/>
      <c r="AM171" s="64"/>
    </row>
    <row r="172" spans="1:39" ht="16.5" hidden="1" customHeight="1" outlineLevel="1" x14ac:dyDescent="0.2">
      <c r="A172" s="16"/>
      <c r="B172" s="46" t="s">
        <v>33</v>
      </c>
      <c r="C172" s="7" t="s">
        <v>34</v>
      </c>
      <c r="D172" s="47">
        <v>0.1</v>
      </c>
      <c r="E172" s="47">
        <v>0.2</v>
      </c>
      <c r="F172" s="47">
        <v>0.3</v>
      </c>
      <c r="G172" s="47">
        <v>0.5</v>
      </c>
      <c r="H172" s="47">
        <v>0.5</v>
      </c>
      <c r="I172" s="47">
        <v>0.8</v>
      </c>
      <c r="J172" s="47">
        <v>0.7</v>
      </c>
      <c r="K172" s="47">
        <v>0.6</v>
      </c>
      <c r="L172" s="47">
        <v>0.5</v>
      </c>
      <c r="M172" s="47">
        <v>0.5</v>
      </c>
      <c r="N172" s="47">
        <v>0.6</v>
      </c>
      <c r="O172" s="47">
        <v>0.8</v>
      </c>
      <c r="P172" s="47">
        <v>1</v>
      </c>
      <c r="Q172" s="47">
        <v>1.2</v>
      </c>
      <c r="R172" s="47">
        <v>1.6</v>
      </c>
      <c r="S172" s="47">
        <v>1.5</v>
      </c>
      <c r="T172" s="47">
        <v>1.8</v>
      </c>
      <c r="U172" s="47">
        <v>2</v>
      </c>
      <c r="V172" s="47">
        <v>1.6</v>
      </c>
      <c r="W172" s="47">
        <v>1.4</v>
      </c>
      <c r="X172" s="47">
        <v>1.1000000000000001</v>
      </c>
      <c r="Y172" s="47">
        <v>1.1000000000000001</v>
      </c>
      <c r="Z172" s="47">
        <v>1.2</v>
      </c>
      <c r="AA172" s="47">
        <v>2</v>
      </c>
      <c r="AB172" s="47">
        <v>2.2000000000000002</v>
      </c>
      <c r="AC172" s="47">
        <v>2.5</v>
      </c>
      <c r="AD172" s="47">
        <v>3</v>
      </c>
      <c r="AE172" s="10"/>
      <c r="AF172" s="10"/>
      <c r="AG172" s="10"/>
      <c r="AH172" s="10"/>
      <c r="AI172" s="10"/>
      <c r="AJ172" s="10"/>
      <c r="AK172" s="10"/>
      <c r="AL172" s="10"/>
      <c r="AM172" s="10"/>
    </row>
    <row r="173" spans="1:39" ht="15.75" hidden="1" customHeight="1" outlineLevel="1" x14ac:dyDescent="0.2">
      <c r="A173" s="48"/>
      <c r="B173" s="49" t="s">
        <v>35</v>
      </c>
      <c r="C173" s="50">
        <v>5000</v>
      </c>
      <c r="D173" s="51">
        <f t="shared" ref="D173:AD173" si="99">ROUND(D172*$C173,0)</f>
        <v>500</v>
      </c>
      <c r="E173" s="51">
        <f t="shared" si="99"/>
        <v>1000</v>
      </c>
      <c r="F173" s="51">
        <f t="shared" si="99"/>
        <v>1500</v>
      </c>
      <c r="G173" s="51">
        <f t="shared" si="99"/>
        <v>2500</v>
      </c>
      <c r="H173" s="51">
        <f t="shared" si="99"/>
        <v>2500</v>
      </c>
      <c r="I173" s="51">
        <f t="shared" si="99"/>
        <v>4000</v>
      </c>
      <c r="J173" s="51">
        <f t="shared" si="99"/>
        <v>3500</v>
      </c>
      <c r="K173" s="51">
        <f t="shared" si="99"/>
        <v>3000</v>
      </c>
      <c r="L173" s="51">
        <f t="shared" si="99"/>
        <v>2500</v>
      </c>
      <c r="M173" s="51">
        <f t="shared" si="99"/>
        <v>2500</v>
      </c>
      <c r="N173" s="51">
        <f t="shared" si="99"/>
        <v>3000</v>
      </c>
      <c r="O173" s="51">
        <f t="shared" si="99"/>
        <v>4000</v>
      </c>
      <c r="P173" s="51">
        <f t="shared" si="99"/>
        <v>5000</v>
      </c>
      <c r="Q173" s="51">
        <f t="shared" si="99"/>
        <v>6000</v>
      </c>
      <c r="R173" s="51">
        <f t="shared" si="99"/>
        <v>8000</v>
      </c>
      <c r="S173" s="51">
        <f t="shared" si="99"/>
        <v>7500</v>
      </c>
      <c r="T173" s="51">
        <f t="shared" si="99"/>
        <v>9000</v>
      </c>
      <c r="U173" s="51">
        <f t="shared" si="99"/>
        <v>10000</v>
      </c>
      <c r="V173" s="51">
        <f t="shared" si="99"/>
        <v>8000</v>
      </c>
      <c r="W173" s="51">
        <f t="shared" si="99"/>
        <v>7000</v>
      </c>
      <c r="X173" s="51">
        <f t="shared" si="99"/>
        <v>5500</v>
      </c>
      <c r="Y173" s="51">
        <f t="shared" si="99"/>
        <v>5500</v>
      </c>
      <c r="Z173" s="51">
        <f t="shared" si="99"/>
        <v>6000</v>
      </c>
      <c r="AA173" s="51">
        <f t="shared" si="99"/>
        <v>10000</v>
      </c>
      <c r="AB173" s="51">
        <f t="shared" si="99"/>
        <v>11000</v>
      </c>
      <c r="AC173" s="51">
        <f t="shared" si="99"/>
        <v>12500</v>
      </c>
      <c r="AD173" s="51">
        <f t="shared" si="99"/>
        <v>15000</v>
      </c>
      <c r="AE173" s="10"/>
      <c r="AF173" s="10"/>
      <c r="AG173" s="10"/>
      <c r="AH173" s="10"/>
      <c r="AI173" s="10"/>
      <c r="AJ173" s="10"/>
      <c r="AK173" s="10"/>
      <c r="AL173" s="10"/>
      <c r="AM173" s="10"/>
    </row>
    <row r="174" spans="1:39" ht="15.75" hidden="1" customHeight="1" outlineLevel="1" x14ac:dyDescent="0.2">
      <c r="A174" s="48"/>
      <c r="B174" s="49" t="s">
        <v>36</v>
      </c>
      <c r="C174" s="52">
        <v>0.1</v>
      </c>
      <c r="D174" s="22"/>
      <c r="E174" s="22"/>
      <c r="F174" s="22"/>
      <c r="G174" s="22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  <c r="AA174" s="22"/>
      <c r="AB174" s="22"/>
      <c r="AC174" s="22"/>
      <c r="AD174" s="22"/>
      <c r="AE174" s="10"/>
      <c r="AF174" s="10"/>
      <c r="AG174" s="10"/>
      <c r="AH174" s="10"/>
      <c r="AI174" s="10"/>
      <c r="AJ174" s="10"/>
      <c r="AK174" s="10"/>
      <c r="AL174" s="10"/>
      <c r="AM174" s="10"/>
    </row>
    <row r="175" spans="1:39" ht="15.75" hidden="1" customHeight="1" outlineLevel="1" x14ac:dyDescent="0.2">
      <c r="A175" s="48"/>
      <c r="B175" s="53" t="s">
        <v>37</v>
      </c>
      <c r="C175" s="54"/>
      <c r="D175" s="51">
        <f t="shared" ref="D175:AD175" si="100">ROUND(D173*$C174,0)</f>
        <v>50</v>
      </c>
      <c r="E175" s="51">
        <f t="shared" si="100"/>
        <v>100</v>
      </c>
      <c r="F175" s="51">
        <f t="shared" si="100"/>
        <v>150</v>
      </c>
      <c r="G175" s="51">
        <f t="shared" si="100"/>
        <v>250</v>
      </c>
      <c r="H175" s="51">
        <f t="shared" si="100"/>
        <v>250</v>
      </c>
      <c r="I175" s="51">
        <f t="shared" si="100"/>
        <v>400</v>
      </c>
      <c r="J175" s="51">
        <f t="shared" si="100"/>
        <v>350</v>
      </c>
      <c r="K175" s="51">
        <f t="shared" si="100"/>
        <v>300</v>
      </c>
      <c r="L175" s="51">
        <f t="shared" si="100"/>
        <v>250</v>
      </c>
      <c r="M175" s="51">
        <f t="shared" si="100"/>
        <v>250</v>
      </c>
      <c r="N175" s="51">
        <f t="shared" si="100"/>
        <v>300</v>
      </c>
      <c r="O175" s="51">
        <f t="shared" si="100"/>
        <v>400</v>
      </c>
      <c r="P175" s="51">
        <f t="shared" si="100"/>
        <v>500</v>
      </c>
      <c r="Q175" s="51">
        <f t="shared" si="100"/>
        <v>600</v>
      </c>
      <c r="R175" s="51">
        <f t="shared" si="100"/>
        <v>800</v>
      </c>
      <c r="S175" s="51">
        <f t="shared" si="100"/>
        <v>750</v>
      </c>
      <c r="T175" s="51">
        <f t="shared" si="100"/>
        <v>900</v>
      </c>
      <c r="U175" s="51">
        <f t="shared" si="100"/>
        <v>1000</v>
      </c>
      <c r="V175" s="51">
        <f t="shared" si="100"/>
        <v>800</v>
      </c>
      <c r="W175" s="51">
        <f t="shared" si="100"/>
        <v>700</v>
      </c>
      <c r="X175" s="51">
        <f t="shared" si="100"/>
        <v>550</v>
      </c>
      <c r="Y175" s="51">
        <f t="shared" si="100"/>
        <v>550</v>
      </c>
      <c r="Z175" s="51">
        <f t="shared" si="100"/>
        <v>600</v>
      </c>
      <c r="AA175" s="51">
        <f t="shared" si="100"/>
        <v>1000</v>
      </c>
      <c r="AB175" s="51">
        <f t="shared" si="100"/>
        <v>1100</v>
      </c>
      <c r="AC175" s="51">
        <f t="shared" si="100"/>
        <v>1250</v>
      </c>
      <c r="AD175" s="51">
        <f t="shared" si="100"/>
        <v>1500</v>
      </c>
      <c r="AE175" s="10"/>
      <c r="AF175" s="10"/>
      <c r="AG175" s="10"/>
      <c r="AH175" s="10"/>
      <c r="AI175" s="10"/>
      <c r="AJ175" s="10"/>
      <c r="AK175" s="10"/>
      <c r="AL175" s="10"/>
      <c r="AM175" s="10"/>
    </row>
    <row r="176" spans="1:39" ht="15.75" hidden="1" customHeight="1" outlineLevel="1" x14ac:dyDescent="0.2">
      <c r="A176" s="16"/>
      <c r="B176" s="49" t="s">
        <v>38</v>
      </c>
      <c r="C176" s="52">
        <v>0.2</v>
      </c>
      <c r="D176" s="51"/>
      <c r="E176" s="51"/>
      <c r="F176" s="51"/>
      <c r="G176" s="51"/>
      <c r="H176" s="51"/>
      <c r="I176" s="51"/>
      <c r="J176" s="51"/>
      <c r="K176" s="51"/>
      <c r="L176" s="51"/>
      <c r="M176" s="51"/>
      <c r="N176" s="51"/>
      <c r="O176" s="51"/>
      <c r="P176" s="51"/>
      <c r="Q176" s="51"/>
      <c r="R176" s="51"/>
      <c r="S176" s="51"/>
      <c r="T176" s="51"/>
      <c r="U176" s="51"/>
      <c r="V176" s="51"/>
      <c r="W176" s="51"/>
      <c r="X176" s="51"/>
      <c r="Y176" s="51"/>
      <c r="Z176" s="51"/>
      <c r="AA176" s="51"/>
      <c r="AB176" s="51"/>
      <c r="AC176" s="51"/>
      <c r="AD176" s="51"/>
      <c r="AE176" s="10"/>
      <c r="AF176" s="10"/>
      <c r="AG176" s="10"/>
      <c r="AH176" s="10"/>
      <c r="AI176" s="10"/>
      <c r="AJ176" s="10"/>
      <c r="AK176" s="10"/>
      <c r="AL176" s="10"/>
      <c r="AM176" s="10"/>
    </row>
    <row r="177" spans="1:39" ht="15.75" hidden="1" customHeight="1" outlineLevel="1" x14ac:dyDescent="0.2">
      <c r="A177" s="48"/>
      <c r="B177" s="53" t="s">
        <v>39</v>
      </c>
      <c r="C177" s="56"/>
      <c r="D177" s="51">
        <f t="shared" ref="D177:AD177" si="101">ROUND(D175*$C176,0)</f>
        <v>10</v>
      </c>
      <c r="E177" s="51">
        <f t="shared" si="101"/>
        <v>20</v>
      </c>
      <c r="F177" s="51">
        <f t="shared" si="101"/>
        <v>30</v>
      </c>
      <c r="G177" s="51">
        <f t="shared" si="101"/>
        <v>50</v>
      </c>
      <c r="H177" s="51">
        <f t="shared" si="101"/>
        <v>50</v>
      </c>
      <c r="I177" s="51">
        <f t="shared" si="101"/>
        <v>80</v>
      </c>
      <c r="J177" s="51">
        <f t="shared" si="101"/>
        <v>70</v>
      </c>
      <c r="K177" s="51">
        <f t="shared" si="101"/>
        <v>60</v>
      </c>
      <c r="L177" s="51">
        <f t="shared" si="101"/>
        <v>50</v>
      </c>
      <c r="M177" s="51">
        <f t="shared" si="101"/>
        <v>50</v>
      </c>
      <c r="N177" s="51">
        <f t="shared" si="101"/>
        <v>60</v>
      </c>
      <c r="O177" s="51">
        <f t="shared" si="101"/>
        <v>80</v>
      </c>
      <c r="P177" s="51">
        <f t="shared" si="101"/>
        <v>100</v>
      </c>
      <c r="Q177" s="51">
        <f t="shared" si="101"/>
        <v>120</v>
      </c>
      <c r="R177" s="51">
        <f t="shared" si="101"/>
        <v>160</v>
      </c>
      <c r="S177" s="51">
        <f t="shared" si="101"/>
        <v>150</v>
      </c>
      <c r="T177" s="51">
        <f t="shared" si="101"/>
        <v>180</v>
      </c>
      <c r="U177" s="51">
        <f t="shared" si="101"/>
        <v>200</v>
      </c>
      <c r="V177" s="51">
        <f t="shared" si="101"/>
        <v>160</v>
      </c>
      <c r="W177" s="51">
        <f t="shared" si="101"/>
        <v>140</v>
      </c>
      <c r="X177" s="51">
        <f t="shared" si="101"/>
        <v>110</v>
      </c>
      <c r="Y177" s="51">
        <f t="shared" si="101"/>
        <v>110</v>
      </c>
      <c r="Z177" s="51">
        <f t="shared" si="101"/>
        <v>120</v>
      </c>
      <c r="AA177" s="51">
        <f t="shared" si="101"/>
        <v>200</v>
      </c>
      <c r="AB177" s="51">
        <f t="shared" si="101"/>
        <v>220</v>
      </c>
      <c r="AC177" s="51">
        <f t="shared" si="101"/>
        <v>250</v>
      </c>
      <c r="AD177" s="51">
        <f t="shared" si="101"/>
        <v>300</v>
      </c>
      <c r="AE177" s="10"/>
      <c r="AF177" s="10"/>
      <c r="AG177" s="10"/>
      <c r="AH177" s="10"/>
      <c r="AI177" s="10"/>
      <c r="AJ177" s="10"/>
      <c r="AK177" s="10"/>
      <c r="AL177" s="10"/>
      <c r="AM177" s="10"/>
    </row>
    <row r="178" spans="1:39" ht="15.75" hidden="1" customHeight="1" outlineLevel="1" x14ac:dyDescent="0.2">
      <c r="A178" s="16"/>
      <c r="B178" s="49" t="s">
        <v>40</v>
      </c>
      <c r="C178" s="52">
        <v>0.3</v>
      </c>
      <c r="D178" s="51"/>
      <c r="E178" s="51"/>
      <c r="F178" s="51"/>
      <c r="G178" s="51"/>
      <c r="H178" s="51"/>
      <c r="I178" s="51"/>
      <c r="J178" s="51"/>
      <c r="K178" s="51"/>
      <c r="L178" s="51"/>
      <c r="M178" s="51"/>
      <c r="N178" s="51"/>
      <c r="O178" s="51"/>
      <c r="P178" s="51"/>
      <c r="Q178" s="51"/>
      <c r="R178" s="51"/>
      <c r="S178" s="51"/>
      <c r="T178" s="51"/>
      <c r="U178" s="51"/>
      <c r="V178" s="51"/>
      <c r="W178" s="51"/>
      <c r="X178" s="51"/>
      <c r="Y178" s="51"/>
      <c r="Z178" s="51"/>
      <c r="AA178" s="51"/>
      <c r="AB178" s="51"/>
      <c r="AC178" s="51"/>
      <c r="AD178" s="51"/>
      <c r="AE178" s="10"/>
      <c r="AF178" s="10"/>
      <c r="AG178" s="10"/>
      <c r="AH178" s="10"/>
      <c r="AI178" s="10"/>
      <c r="AJ178" s="10"/>
      <c r="AK178" s="10"/>
      <c r="AL178" s="10"/>
      <c r="AM178" s="10"/>
    </row>
    <row r="179" spans="1:39" ht="15.75" hidden="1" customHeight="1" outlineLevel="1" x14ac:dyDescent="0.2">
      <c r="A179" s="16"/>
      <c r="B179" s="53" t="s">
        <v>41</v>
      </c>
      <c r="C179" s="56"/>
      <c r="D179" s="51">
        <f t="shared" ref="D179:AD179" si="102">ROUND(D177*$C178,0)</f>
        <v>3</v>
      </c>
      <c r="E179" s="51">
        <f t="shared" si="102"/>
        <v>6</v>
      </c>
      <c r="F179" s="51">
        <f t="shared" si="102"/>
        <v>9</v>
      </c>
      <c r="G179" s="51">
        <f t="shared" si="102"/>
        <v>15</v>
      </c>
      <c r="H179" s="51">
        <f t="shared" si="102"/>
        <v>15</v>
      </c>
      <c r="I179" s="51">
        <f t="shared" si="102"/>
        <v>24</v>
      </c>
      <c r="J179" s="51">
        <f t="shared" si="102"/>
        <v>21</v>
      </c>
      <c r="K179" s="51">
        <f t="shared" si="102"/>
        <v>18</v>
      </c>
      <c r="L179" s="51">
        <f t="shared" si="102"/>
        <v>15</v>
      </c>
      <c r="M179" s="51">
        <f t="shared" si="102"/>
        <v>15</v>
      </c>
      <c r="N179" s="51">
        <f t="shared" si="102"/>
        <v>18</v>
      </c>
      <c r="O179" s="51">
        <f t="shared" si="102"/>
        <v>24</v>
      </c>
      <c r="P179" s="51">
        <f t="shared" si="102"/>
        <v>30</v>
      </c>
      <c r="Q179" s="51">
        <f t="shared" si="102"/>
        <v>36</v>
      </c>
      <c r="R179" s="51">
        <f t="shared" si="102"/>
        <v>48</v>
      </c>
      <c r="S179" s="51">
        <f t="shared" si="102"/>
        <v>45</v>
      </c>
      <c r="T179" s="51">
        <f t="shared" si="102"/>
        <v>54</v>
      </c>
      <c r="U179" s="51">
        <f t="shared" si="102"/>
        <v>60</v>
      </c>
      <c r="V179" s="51">
        <f t="shared" si="102"/>
        <v>48</v>
      </c>
      <c r="W179" s="51">
        <f t="shared" si="102"/>
        <v>42</v>
      </c>
      <c r="X179" s="51">
        <f t="shared" si="102"/>
        <v>33</v>
      </c>
      <c r="Y179" s="51">
        <f t="shared" si="102"/>
        <v>33</v>
      </c>
      <c r="Z179" s="51">
        <f t="shared" si="102"/>
        <v>36</v>
      </c>
      <c r="AA179" s="51">
        <f t="shared" si="102"/>
        <v>60</v>
      </c>
      <c r="AB179" s="51">
        <f t="shared" si="102"/>
        <v>66</v>
      </c>
      <c r="AC179" s="51">
        <f t="shared" si="102"/>
        <v>75</v>
      </c>
      <c r="AD179" s="51">
        <f t="shared" si="102"/>
        <v>90</v>
      </c>
      <c r="AE179" s="10"/>
      <c r="AF179" s="10"/>
      <c r="AG179" s="10"/>
      <c r="AH179" s="10"/>
      <c r="AI179" s="10"/>
      <c r="AJ179" s="10"/>
      <c r="AK179" s="10"/>
      <c r="AL179" s="10"/>
      <c r="AM179" s="10"/>
    </row>
    <row r="180" spans="1:39" ht="15.75" hidden="1" customHeight="1" outlineLevel="1" x14ac:dyDescent="0.2">
      <c r="A180" s="16"/>
      <c r="B180" s="53" t="s">
        <v>44</v>
      </c>
      <c r="C180" s="58">
        <v>2635</v>
      </c>
      <c r="D180" s="51"/>
      <c r="E180" s="51"/>
      <c r="F180" s="51"/>
      <c r="G180" s="51"/>
      <c r="H180" s="51"/>
      <c r="I180" s="51"/>
      <c r="J180" s="51"/>
      <c r="K180" s="51"/>
      <c r="L180" s="51"/>
      <c r="M180" s="51"/>
      <c r="N180" s="51"/>
      <c r="O180" s="51"/>
      <c r="P180" s="51"/>
      <c r="Q180" s="51"/>
      <c r="R180" s="51"/>
      <c r="S180" s="51"/>
      <c r="T180" s="51"/>
      <c r="U180" s="51"/>
      <c r="V180" s="51"/>
      <c r="W180" s="51"/>
      <c r="X180" s="51"/>
      <c r="Y180" s="51"/>
      <c r="Z180" s="51"/>
      <c r="AA180" s="51"/>
      <c r="AB180" s="51"/>
      <c r="AC180" s="51"/>
      <c r="AD180" s="51"/>
      <c r="AE180" s="10"/>
      <c r="AF180" s="10"/>
      <c r="AG180" s="10"/>
      <c r="AH180" s="10"/>
      <c r="AI180" s="10"/>
      <c r="AJ180" s="10"/>
      <c r="AK180" s="10"/>
      <c r="AL180" s="10"/>
      <c r="AM180" s="10"/>
    </row>
    <row r="181" spans="1:39" ht="21.75" customHeight="1" collapsed="1" x14ac:dyDescent="0.25">
      <c r="A181" s="65"/>
      <c r="B181" s="539" t="s">
        <v>435</v>
      </c>
      <c r="C181" s="67" t="s">
        <v>31</v>
      </c>
      <c r="D181" s="68">
        <f t="shared" ref="D181:AD181" si="103">D189*$C190</f>
        <v>7905</v>
      </c>
      <c r="E181" s="68">
        <f t="shared" si="103"/>
        <v>15810</v>
      </c>
      <c r="F181" s="68">
        <f t="shared" si="103"/>
        <v>23715</v>
      </c>
      <c r="G181" s="68">
        <f t="shared" si="103"/>
        <v>39525</v>
      </c>
      <c r="H181" s="68">
        <f t="shared" si="103"/>
        <v>39525</v>
      </c>
      <c r="I181" s="68">
        <f t="shared" si="103"/>
        <v>63240</v>
      </c>
      <c r="J181" s="68">
        <f t="shared" si="103"/>
        <v>55335</v>
      </c>
      <c r="K181" s="68">
        <f t="shared" si="103"/>
        <v>47430</v>
      </c>
      <c r="L181" s="68">
        <f t="shared" si="103"/>
        <v>39525</v>
      </c>
      <c r="M181" s="68">
        <f t="shared" si="103"/>
        <v>39525</v>
      </c>
      <c r="N181" s="68">
        <f t="shared" si="103"/>
        <v>47430</v>
      </c>
      <c r="O181" s="68">
        <f t="shared" si="103"/>
        <v>63240</v>
      </c>
      <c r="P181" s="68">
        <f t="shared" si="103"/>
        <v>79050</v>
      </c>
      <c r="Q181" s="68">
        <f t="shared" si="103"/>
        <v>94860</v>
      </c>
      <c r="R181" s="68">
        <f t="shared" si="103"/>
        <v>126480</v>
      </c>
      <c r="S181" s="68">
        <f t="shared" si="103"/>
        <v>118575</v>
      </c>
      <c r="T181" s="68">
        <f t="shared" si="103"/>
        <v>142290</v>
      </c>
      <c r="U181" s="68">
        <f t="shared" si="103"/>
        <v>158100</v>
      </c>
      <c r="V181" s="68">
        <f t="shared" si="103"/>
        <v>126480</v>
      </c>
      <c r="W181" s="68">
        <f t="shared" si="103"/>
        <v>110670</v>
      </c>
      <c r="X181" s="68">
        <f t="shared" si="103"/>
        <v>86955</v>
      </c>
      <c r="Y181" s="68">
        <f t="shared" si="103"/>
        <v>86955</v>
      </c>
      <c r="Z181" s="68">
        <f t="shared" si="103"/>
        <v>94860</v>
      </c>
      <c r="AA181" s="68">
        <f t="shared" si="103"/>
        <v>158100</v>
      </c>
      <c r="AB181" s="68">
        <f t="shared" si="103"/>
        <v>173910</v>
      </c>
      <c r="AC181" s="68">
        <f t="shared" si="103"/>
        <v>197625</v>
      </c>
      <c r="AD181" s="68">
        <f t="shared" si="103"/>
        <v>237150</v>
      </c>
      <c r="AE181" s="64"/>
      <c r="AF181" s="64"/>
      <c r="AG181" s="64"/>
      <c r="AH181" s="64"/>
      <c r="AI181" s="64"/>
      <c r="AJ181" s="64"/>
      <c r="AK181" s="64"/>
      <c r="AL181" s="64"/>
      <c r="AM181" s="64"/>
    </row>
    <row r="182" spans="1:39" ht="16.5" hidden="1" customHeight="1" outlineLevel="1" x14ac:dyDescent="0.2">
      <c r="A182" s="16"/>
      <c r="B182" s="46" t="s">
        <v>33</v>
      </c>
      <c r="C182" s="7" t="s">
        <v>34</v>
      </c>
      <c r="D182" s="47">
        <v>0.1</v>
      </c>
      <c r="E182" s="47">
        <v>0.2</v>
      </c>
      <c r="F182" s="47">
        <v>0.3</v>
      </c>
      <c r="G182" s="47">
        <v>0.5</v>
      </c>
      <c r="H182" s="47">
        <v>0.5</v>
      </c>
      <c r="I182" s="47">
        <v>0.8</v>
      </c>
      <c r="J182" s="47">
        <v>0.7</v>
      </c>
      <c r="K182" s="47">
        <v>0.6</v>
      </c>
      <c r="L182" s="47">
        <v>0.5</v>
      </c>
      <c r="M182" s="47">
        <v>0.5</v>
      </c>
      <c r="N182" s="47">
        <v>0.6</v>
      </c>
      <c r="O182" s="47">
        <v>0.8</v>
      </c>
      <c r="P182" s="47">
        <v>1</v>
      </c>
      <c r="Q182" s="47">
        <v>1.2</v>
      </c>
      <c r="R182" s="47">
        <v>1.6</v>
      </c>
      <c r="S182" s="47">
        <v>1.5</v>
      </c>
      <c r="T182" s="47">
        <v>1.8</v>
      </c>
      <c r="U182" s="47">
        <v>2</v>
      </c>
      <c r="V182" s="47">
        <v>1.6</v>
      </c>
      <c r="W182" s="47">
        <v>1.4</v>
      </c>
      <c r="X182" s="47">
        <v>1.1000000000000001</v>
      </c>
      <c r="Y182" s="47">
        <v>1.1000000000000001</v>
      </c>
      <c r="Z182" s="47">
        <v>1.2</v>
      </c>
      <c r="AA182" s="47">
        <v>2</v>
      </c>
      <c r="AB182" s="47">
        <v>2.2000000000000002</v>
      </c>
      <c r="AC182" s="47">
        <v>2.5</v>
      </c>
      <c r="AD182" s="47">
        <v>3</v>
      </c>
      <c r="AE182" s="10"/>
      <c r="AF182" s="10"/>
      <c r="AG182" s="10"/>
      <c r="AH182" s="10"/>
      <c r="AI182" s="10"/>
      <c r="AJ182" s="10"/>
      <c r="AK182" s="10"/>
      <c r="AL182" s="10"/>
      <c r="AM182" s="10"/>
    </row>
    <row r="183" spans="1:39" ht="15.75" hidden="1" customHeight="1" outlineLevel="1" x14ac:dyDescent="0.2">
      <c r="A183" s="48"/>
      <c r="B183" s="49" t="s">
        <v>35</v>
      </c>
      <c r="C183" s="50">
        <v>5000</v>
      </c>
      <c r="D183" s="51">
        <f t="shared" ref="D183:AD183" si="104">ROUND(D182*$C183,0)</f>
        <v>500</v>
      </c>
      <c r="E183" s="51">
        <f t="shared" si="104"/>
        <v>1000</v>
      </c>
      <c r="F183" s="51">
        <f t="shared" si="104"/>
        <v>1500</v>
      </c>
      <c r="G183" s="51">
        <f t="shared" si="104"/>
        <v>2500</v>
      </c>
      <c r="H183" s="51">
        <f t="shared" si="104"/>
        <v>2500</v>
      </c>
      <c r="I183" s="51">
        <f t="shared" si="104"/>
        <v>4000</v>
      </c>
      <c r="J183" s="51">
        <f t="shared" si="104"/>
        <v>3500</v>
      </c>
      <c r="K183" s="51">
        <f t="shared" si="104"/>
        <v>3000</v>
      </c>
      <c r="L183" s="51">
        <f t="shared" si="104"/>
        <v>2500</v>
      </c>
      <c r="M183" s="51">
        <f t="shared" si="104"/>
        <v>2500</v>
      </c>
      <c r="N183" s="51">
        <f t="shared" si="104"/>
        <v>3000</v>
      </c>
      <c r="O183" s="51">
        <f t="shared" si="104"/>
        <v>4000</v>
      </c>
      <c r="P183" s="51">
        <f t="shared" si="104"/>
        <v>5000</v>
      </c>
      <c r="Q183" s="51">
        <f t="shared" si="104"/>
        <v>6000</v>
      </c>
      <c r="R183" s="51">
        <f t="shared" si="104"/>
        <v>8000</v>
      </c>
      <c r="S183" s="51">
        <f t="shared" si="104"/>
        <v>7500</v>
      </c>
      <c r="T183" s="51">
        <f t="shared" si="104"/>
        <v>9000</v>
      </c>
      <c r="U183" s="51">
        <f t="shared" si="104"/>
        <v>10000</v>
      </c>
      <c r="V183" s="51">
        <f t="shared" si="104"/>
        <v>8000</v>
      </c>
      <c r="W183" s="51">
        <f t="shared" si="104"/>
        <v>7000</v>
      </c>
      <c r="X183" s="51">
        <f t="shared" si="104"/>
        <v>5500</v>
      </c>
      <c r="Y183" s="51">
        <f t="shared" si="104"/>
        <v>5500</v>
      </c>
      <c r="Z183" s="51">
        <f t="shared" si="104"/>
        <v>6000</v>
      </c>
      <c r="AA183" s="51">
        <f t="shared" si="104"/>
        <v>10000</v>
      </c>
      <c r="AB183" s="51">
        <f t="shared" si="104"/>
        <v>11000</v>
      </c>
      <c r="AC183" s="51">
        <f t="shared" si="104"/>
        <v>12500</v>
      </c>
      <c r="AD183" s="51">
        <f t="shared" si="104"/>
        <v>15000</v>
      </c>
      <c r="AE183" s="10"/>
      <c r="AF183" s="10"/>
      <c r="AG183" s="10"/>
      <c r="AH183" s="10"/>
      <c r="AI183" s="10"/>
      <c r="AJ183" s="10"/>
      <c r="AK183" s="10"/>
      <c r="AL183" s="10"/>
      <c r="AM183" s="10"/>
    </row>
    <row r="184" spans="1:39" ht="15.75" hidden="1" customHeight="1" outlineLevel="1" x14ac:dyDescent="0.2">
      <c r="A184" s="48"/>
      <c r="B184" s="49" t="s">
        <v>36</v>
      </c>
      <c r="C184" s="52">
        <v>0.1</v>
      </c>
      <c r="D184" s="22"/>
      <c r="E184" s="22"/>
      <c r="F184" s="22"/>
      <c r="G184" s="22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  <c r="Z184" s="22"/>
      <c r="AA184" s="22"/>
      <c r="AB184" s="22"/>
      <c r="AC184" s="22"/>
      <c r="AD184" s="22"/>
      <c r="AE184" s="10"/>
      <c r="AF184" s="10"/>
      <c r="AG184" s="10"/>
      <c r="AH184" s="10"/>
      <c r="AI184" s="10"/>
      <c r="AJ184" s="10"/>
      <c r="AK184" s="10"/>
      <c r="AL184" s="10"/>
      <c r="AM184" s="10"/>
    </row>
    <row r="185" spans="1:39" ht="15.75" hidden="1" customHeight="1" outlineLevel="1" x14ac:dyDescent="0.2">
      <c r="A185" s="48"/>
      <c r="B185" s="53" t="s">
        <v>37</v>
      </c>
      <c r="C185" s="54"/>
      <c r="D185" s="51">
        <f t="shared" ref="D185:AD185" si="105">ROUND(D183*$C184,0)</f>
        <v>50</v>
      </c>
      <c r="E185" s="51">
        <f t="shared" si="105"/>
        <v>100</v>
      </c>
      <c r="F185" s="51">
        <f t="shared" si="105"/>
        <v>150</v>
      </c>
      <c r="G185" s="51">
        <f t="shared" si="105"/>
        <v>250</v>
      </c>
      <c r="H185" s="51">
        <f t="shared" si="105"/>
        <v>250</v>
      </c>
      <c r="I185" s="51">
        <f t="shared" si="105"/>
        <v>400</v>
      </c>
      <c r="J185" s="51">
        <f t="shared" si="105"/>
        <v>350</v>
      </c>
      <c r="K185" s="51">
        <f t="shared" si="105"/>
        <v>300</v>
      </c>
      <c r="L185" s="51">
        <f t="shared" si="105"/>
        <v>250</v>
      </c>
      <c r="M185" s="51">
        <f t="shared" si="105"/>
        <v>250</v>
      </c>
      <c r="N185" s="51">
        <f t="shared" si="105"/>
        <v>300</v>
      </c>
      <c r="O185" s="51">
        <f t="shared" si="105"/>
        <v>400</v>
      </c>
      <c r="P185" s="51">
        <f t="shared" si="105"/>
        <v>500</v>
      </c>
      <c r="Q185" s="51">
        <f t="shared" si="105"/>
        <v>600</v>
      </c>
      <c r="R185" s="51">
        <f t="shared" si="105"/>
        <v>800</v>
      </c>
      <c r="S185" s="51">
        <f t="shared" si="105"/>
        <v>750</v>
      </c>
      <c r="T185" s="51">
        <f t="shared" si="105"/>
        <v>900</v>
      </c>
      <c r="U185" s="51">
        <f t="shared" si="105"/>
        <v>1000</v>
      </c>
      <c r="V185" s="51">
        <f t="shared" si="105"/>
        <v>800</v>
      </c>
      <c r="W185" s="51">
        <f t="shared" si="105"/>
        <v>700</v>
      </c>
      <c r="X185" s="51">
        <f t="shared" si="105"/>
        <v>550</v>
      </c>
      <c r="Y185" s="51">
        <f t="shared" si="105"/>
        <v>550</v>
      </c>
      <c r="Z185" s="51">
        <f t="shared" si="105"/>
        <v>600</v>
      </c>
      <c r="AA185" s="51">
        <f t="shared" si="105"/>
        <v>1000</v>
      </c>
      <c r="AB185" s="51">
        <f t="shared" si="105"/>
        <v>1100</v>
      </c>
      <c r="AC185" s="51">
        <f t="shared" si="105"/>
        <v>1250</v>
      </c>
      <c r="AD185" s="51">
        <f t="shared" si="105"/>
        <v>1500</v>
      </c>
      <c r="AE185" s="10"/>
      <c r="AF185" s="10"/>
      <c r="AG185" s="10"/>
      <c r="AH185" s="10"/>
      <c r="AI185" s="10"/>
      <c r="AJ185" s="10"/>
      <c r="AK185" s="10"/>
      <c r="AL185" s="10"/>
      <c r="AM185" s="10"/>
    </row>
    <row r="186" spans="1:39" ht="15.75" hidden="1" customHeight="1" outlineLevel="1" x14ac:dyDescent="0.2">
      <c r="A186" s="16"/>
      <c r="B186" s="49" t="s">
        <v>38</v>
      </c>
      <c r="C186" s="52">
        <v>0.2</v>
      </c>
      <c r="D186" s="51"/>
      <c r="E186" s="51"/>
      <c r="F186" s="51"/>
      <c r="G186" s="51"/>
      <c r="H186" s="51"/>
      <c r="I186" s="51"/>
      <c r="J186" s="51"/>
      <c r="K186" s="51"/>
      <c r="L186" s="51"/>
      <c r="M186" s="51"/>
      <c r="N186" s="51"/>
      <c r="O186" s="51"/>
      <c r="P186" s="51"/>
      <c r="Q186" s="51"/>
      <c r="R186" s="51"/>
      <c r="S186" s="51"/>
      <c r="T186" s="51"/>
      <c r="U186" s="51"/>
      <c r="V186" s="51"/>
      <c r="W186" s="51"/>
      <c r="X186" s="51"/>
      <c r="Y186" s="51"/>
      <c r="Z186" s="51"/>
      <c r="AA186" s="51"/>
      <c r="AB186" s="51"/>
      <c r="AC186" s="51"/>
      <c r="AD186" s="51"/>
      <c r="AE186" s="10"/>
      <c r="AF186" s="10"/>
      <c r="AG186" s="10"/>
      <c r="AH186" s="10"/>
      <c r="AI186" s="10"/>
      <c r="AJ186" s="10"/>
      <c r="AK186" s="10"/>
      <c r="AL186" s="10"/>
      <c r="AM186" s="10"/>
    </row>
    <row r="187" spans="1:39" ht="15.75" hidden="1" customHeight="1" outlineLevel="1" x14ac:dyDescent="0.2">
      <c r="A187" s="48"/>
      <c r="B187" s="53" t="s">
        <v>39</v>
      </c>
      <c r="C187" s="56"/>
      <c r="D187" s="51">
        <f t="shared" ref="D187:AD187" si="106">ROUND(D185*$C186,0)</f>
        <v>10</v>
      </c>
      <c r="E187" s="51">
        <f t="shared" si="106"/>
        <v>20</v>
      </c>
      <c r="F187" s="51">
        <f t="shared" si="106"/>
        <v>30</v>
      </c>
      <c r="G187" s="51">
        <f t="shared" si="106"/>
        <v>50</v>
      </c>
      <c r="H187" s="51">
        <f t="shared" si="106"/>
        <v>50</v>
      </c>
      <c r="I187" s="51">
        <f t="shared" si="106"/>
        <v>80</v>
      </c>
      <c r="J187" s="51">
        <f t="shared" si="106"/>
        <v>70</v>
      </c>
      <c r="K187" s="51">
        <f t="shared" si="106"/>
        <v>60</v>
      </c>
      <c r="L187" s="51">
        <f t="shared" si="106"/>
        <v>50</v>
      </c>
      <c r="M187" s="51">
        <f t="shared" si="106"/>
        <v>50</v>
      </c>
      <c r="N187" s="51">
        <f t="shared" si="106"/>
        <v>60</v>
      </c>
      <c r="O187" s="51">
        <f t="shared" si="106"/>
        <v>80</v>
      </c>
      <c r="P187" s="51">
        <f t="shared" si="106"/>
        <v>100</v>
      </c>
      <c r="Q187" s="51">
        <f t="shared" si="106"/>
        <v>120</v>
      </c>
      <c r="R187" s="51">
        <f t="shared" si="106"/>
        <v>160</v>
      </c>
      <c r="S187" s="51">
        <f t="shared" si="106"/>
        <v>150</v>
      </c>
      <c r="T187" s="51">
        <f t="shared" si="106"/>
        <v>180</v>
      </c>
      <c r="U187" s="51">
        <f t="shared" si="106"/>
        <v>200</v>
      </c>
      <c r="V187" s="51">
        <f t="shared" si="106"/>
        <v>160</v>
      </c>
      <c r="W187" s="51">
        <f t="shared" si="106"/>
        <v>140</v>
      </c>
      <c r="X187" s="51">
        <f t="shared" si="106"/>
        <v>110</v>
      </c>
      <c r="Y187" s="51">
        <f t="shared" si="106"/>
        <v>110</v>
      </c>
      <c r="Z187" s="51">
        <f t="shared" si="106"/>
        <v>120</v>
      </c>
      <c r="AA187" s="51">
        <f t="shared" si="106"/>
        <v>200</v>
      </c>
      <c r="AB187" s="51">
        <f t="shared" si="106"/>
        <v>220</v>
      </c>
      <c r="AC187" s="51">
        <f t="shared" si="106"/>
        <v>250</v>
      </c>
      <c r="AD187" s="51">
        <f t="shared" si="106"/>
        <v>300</v>
      </c>
      <c r="AE187" s="10"/>
      <c r="AF187" s="10"/>
      <c r="AG187" s="10"/>
      <c r="AH187" s="10"/>
      <c r="AI187" s="10"/>
      <c r="AJ187" s="10"/>
      <c r="AK187" s="10"/>
      <c r="AL187" s="10"/>
      <c r="AM187" s="10"/>
    </row>
    <row r="188" spans="1:39" ht="15.75" hidden="1" customHeight="1" outlineLevel="1" x14ac:dyDescent="0.2">
      <c r="A188" s="16"/>
      <c r="B188" s="49" t="s">
        <v>40</v>
      </c>
      <c r="C188" s="52">
        <v>0.3</v>
      </c>
      <c r="D188" s="51"/>
      <c r="E188" s="51"/>
      <c r="F188" s="51"/>
      <c r="G188" s="51"/>
      <c r="H188" s="51"/>
      <c r="I188" s="51"/>
      <c r="J188" s="51"/>
      <c r="K188" s="51"/>
      <c r="L188" s="51"/>
      <c r="M188" s="51"/>
      <c r="N188" s="51"/>
      <c r="O188" s="51"/>
      <c r="P188" s="51"/>
      <c r="Q188" s="51"/>
      <c r="R188" s="51"/>
      <c r="S188" s="51"/>
      <c r="T188" s="51"/>
      <c r="U188" s="51"/>
      <c r="V188" s="51"/>
      <c r="W188" s="51"/>
      <c r="X188" s="51"/>
      <c r="Y188" s="51"/>
      <c r="Z188" s="51"/>
      <c r="AA188" s="51"/>
      <c r="AB188" s="51"/>
      <c r="AC188" s="51"/>
      <c r="AD188" s="51"/>
      <c r="AE188" s="10"/>
      <c r="AF188" s="10"/>
      <c r="AG188" s="10"/>
      <c r="AH188" s="10"/>
      <c r="AI188" s="10"/>
      <c r="AJ188" s="10"/>
      <c r="AK188" s="10"/>
      <c r="AL188" s="10"/>
      <c r="AM188" s="10"/>
    </row>
    <row r="189" spans="1:39" ht="15.75" hidden="1" customHeight="1" outlineLevel="1" x14ac:dyDescent="0.2">
      <c r="A189" s="16"/>
      <c r="B189" s="53" t="s">
        <v>41</v>
      </c>
      <c r="C189" s="56"/>
      <c r="D189" s="51">
        <f t="shared" ref="D189:AD189" si="107">ROUND(D187*$C188,0)</f>
        <v>3</v>
      </c>
      <c r="E189" s="51">
        <f t="shared" si="107"/>
        <v>6</v>
      </c>
      <c r="F189" s="51">
        <f t="shared" si="107"/>
        <v>9</v>
      </c>
      <c r="G189" s="51">
        <f t="shared" si="107"/>
        <v>15</v>
      </c>
      <c r="H189" s="51">
        <f t="shared" si="107"/>
        <v>15</v>
      </c>
      <c r="I189" s="51">
        <f t="shared" si="107"/>
        <v>24</v>
      </c>
      <c r="J189" s="51">
        <f t="shared" si="107"/>
        <v>21</v>
      </c>
      <c r="K189" s="51">
        <f t="shared" si="107"/>
        <v>18</v>
      </c>
      <c r="L189" s="51">
        <f t="shared" si="107"/>
        <v>15</v>
      </c>
      <c r="M189" s="51">
        <f t="shared" si="107"/>
        <v>15</v>
      </c>
      <c r="N189" s="51">
        <f t="shared" si="107"/>
        <v>18</v>
      </c>
      <c r="O189" s="51">
        <f t="shared" si="107"/>
        <v>24</v>
      </c>
      <c r="P189" s="51">
        <f t="shared" si="107"/>
        <v>30</v>
      </c>
      <c r="Q189" s="51">
        <f t="shared" si="107"/>
        <v>36</v>
      </c>
      <c r="R189" s="51">
        <f t="shared" si="107"/>
        <v>48</v>
      </c>
      <c r="S189" s="51">
        <f t="shared" si="107"/>
        <v>45</v>
      </c>
      <c r="T189" s="51">
        <f t="shared" si="107"/>
        <v>54</v>
      </c>
      <c r="U189" s="51">
        <f t="shared" si="107"/>
        <v>60</v>
      </c>
      <c r="V189" s="51">
        <f t="shared" si="107"/>
        <v>48</v>
      </c>
      <c r="W189" s="51">
        <f t="shared" si="107"/>
        <v>42</v>
      </c>
      <c r="X189" s="51">
        <f t="shared" si="107"/>
        <v>33</v>
      </c>
      <c r="Y189" s="51">
        <f t="shared" si="107"/>
        <v>33</v>
      </c>
      <c r="Z189" s="51">
        <f t="shared" si="107"/>
        <v>36</v>
      </c>
      <c r="AA189" s="51">
        <f t="shared" si="107"/>
        <v>60</v>
      </c>
      <c r="AB189" s="51">
        <f t="shared" si="107"/>
        <v>66</v>
      </c>
      <c r="AC189" s="51">
        <f t="shared" si="107"/>
        <v>75</v>
      </c>
      <c r="AD189" s="51">
        <f t="shared" si="107"/>
        <v>90</v>
      </c>
      <c r="AE189" s="10"/>
      <c r="AF189" s="10"/>
      <c r="AG189" s="10"/>
      <c r="AH189" s="10"/>
      <c r="AI189" s="10"/>
      <c r="AJ189" s="10"/>
      <c r="AK189" s="10"/>
      <c r="AL189" s="10"/>
      <c r="AM189" s="10"/>
    </row>
    <row r="190" spans="1:39" ht="15.75" hidden="1" customHeight="1" outlineLevel="1" x14ac:dyDescent="0.2">
      <c r="A190" s="16"/>
      <c r="B190" s="53" t="s">
        <v>44</v>
      </c>
      <c r="C190" s="58">
        <v>2635</v>
      </c>
      <c r="D190" s="51"/>
      <c r="E190" s="51"/>
      <c r="F190" s="51"/>
      <c r="G190" s="51"/>
      <c r="H190" s="51"/>
      <c r="I190" s="51"/>
      <c r="J190" s="51"/>
      <c r="K190" s="51"/>
      <c r="L190" s="51"/>
      <c r="M190" s="51"/>
      <c r="N190" s="51"/>
      <c r="O190" s="51"/>
      <c r="P190" s="51"/>
      <c r="Q190" s="51"/>
      <c r="R190" s="51"/>
      <c r="S190" s="51"/>
      <c r="T190" s="51"/>
      <c r="U190" s="51"/>
      <c r="V190" s="51"/>
      <c r="W190" s="51"/>
      <c r="X190" s="51"/>
      <c r="Y190" s="51"/>
      <c r="Z190" s="51"/>
      <c r="AA190" s="51"/>
      <c r="AB190" s="51"/>
      <c r="AC190" s="51"/>
      <c r="AD190" s="51"/>
      <c r="AE190" s="10"/>
      <c r="AF190" s="10"/>
      <c r="AG190" s="10"/>
      <c r="AH190" s="10"/>
      <c r="AI190" s="10"/>
      <c r="AJ190" s="10"/>
      <c r="AK190" s="10"/>
      <c r="AL190" s="10"/>
      <c r="AM190" s="10"/>
    </row>
    <row r="191" spans="1:39" ht="21.75" customHeight="1" collapsed="1" x14ac:dyDescent="0.25">
      <c r="A191" s="65"/>
      <c r="B191" s="66" t="s">
        <v>45</v>
      </c>
      <c r="C191" s="67" t="s">
        <v>31</v>
      </c>
      <c r="D191" s="68">
        <f t="shared" ref="D191:AD191" si="108">D199*$C200</f>
        <v>6120</v>
      </c>
      <c r="E191" s="68">
        <f t="shared" si="108"/>
        <v>12240</v>
      </c>
      <c r="F191" s="68">
        <f t="shared" si="108"/>
        <v>18360</v>
      </c>
      <c r="G191" s="68">
        <f t="shared" si="108"/>
        <v>30600</v>
      </c>
      <c r="H191" s="68">
        <f t="shared" si="108"/>
        <v>30600</v>
      </c>
      <c r="I191" s="68">
        <f t="shared" si="108"/>
        <v>48960</v>
      </c>
      <c r="J191" s="68">
        <f t="shared" si="108"/>
        <v>42840</v>
      </c>
      <c r="K191" s="68">
        <f t="shared" si="108"/>
        <v>36720</v>
      </c>
      <c r="L191" s="68">
        <f t="shared" si="108"/>
        <v>30600</v>
      </c>
      <c r="M191" s="68">
        <f t="shared" si="108"/>
        <v>30600</v>
      </c>
      <c r="N191" s="68">
        <f t="shared" si="108"/>
        <v>36720</v>
      </c>
      <c r="O191" s="68">
        <f t="shared" si="108"/>
        <v>48960</v>
      </c>
      <c r="P191" s="68">
        <f t="shared" si="108"/>
        <v>61200</v>
      </c>
      <c r="Q191" s="68">
        <f t="shared" si="108"/>
        <v>73440</v>
      </c>
      <c r="R191" s="68">
        <f t="shared" si="108"/>
        <v>97920</v>
      </c>
      <c r="S191" s="68">
        <f t="shared" si="108"/>
        <v>91800</v>
      </c>
      <c r="T191" s="68">
        <f t="shared" si="108"/>
        <v>110160</v>
      </c>
      <c r="U191" s="68">
        <f t="shared" si="108"/>
        <v>122400</v>
      </c>
      <c r="V191" s="68">
        <f t="shared" si="108"/>
        <v>97920</v>
      </c>
      <c r="W191" s="68">
        <f t="shared" si="108"/>
        <v>85680</v>
      </c>
      <c r="X191" s="68">
        <f t="shared" si="108"/>
        <v>67320</v>
      </c>
      <c r="Y191" s="68">
        <f t="shared" si="108"/>
        <v>67320</v>
      </c>
      <c r="Z191" s="68">
        <f t="shared" si="108"/>
        <v>73440</v>
      </c>
      <c r="AA191" s="68">
        <f t="shared" si="108"/>
        <v>122400</v>
      </c>
      <c r="AB191" s="68">
        <f t="shared" si="108"/>
        <v>134640</v>
      </c>
      <c r="AC191" s="68">
        <f t="shared" si="108"/>
        <v>153000</v>
      </c>
      <c r="AD191" s="68">
        <f t="shared" si="108"/>
        <v>183600</v>
      </c>
      <c r="AE191" s="64"/>
      <c r="AF191" s="64"/>
      <c r="AG191" s="64"/>
      <c r="AH191" s="64"/>
      <c r="AI191" s="64"/>
      <c r="AJ191" s="64"/>
      <c r="AK191" s="64"/>
      <c r="AL191" s="64"/>
      <c r="AM191" s="64"/>
    </row>
    <row r="192" spans="1:39" ht="16.5" hidden="1" customHeight="1" outlineLevel="1" x14ac:dyDescent="0.2">
      <c r="A192" s="16"/>
      <c r="B192" s="46" t="s">
        <v>33</v>
      </c>
      <c r="C192" s="7" t="s">
        <v>34</v>
      </c>
      <c r="D192" s="47">
        <v>0.1</v>
      </c>
      <c r="E192" s="47">
        <v>0.2</v>
      </c>
      <c r="F192" s="47">
        <v>0.3</v>
      </c>
      <c r="G192" s="47">
        <v>0.5</v>
      </c>
      <c r="H192" s="47">
        <v>0.5</v>
      </c>
      <c r="I192" s="47">
        <v>0.8</v>
      </c>
      <c r="J192" s="47">
        <v>0.7</v>
      </c>
      <c r="K192" s="47">
        <v>0.6</v>
      </c>
      <c r="L192" s="47">
        <v>0.5</v>
      </c>
      <c r="M192" s="47">
        <v>0.5</v>
      </c>
      <c r="N192" s="47">
        <v>0.6</v>
      </c>
      <c r="O192" s="47">
        <v>0.8</v>
      </c>
      <c r="P192" s="47">
        <v>1</v>
      </c>
      <c r="Q192" s="47">
        <v>1.2</v>
      </c>
      <c r="R192" s="47">
        <v>1.6</v>
      </c>
      <c r="S192" s="47">
        <v>1.5</v>
      </c>
      <c r="T192" s="47">
        <v>1.8</v>
      </c>
      <c r="U192" s="47">
        <v>2</v>
      </c>
      <c r="V192" s="47">
        <v>1.6</v>
      </c>
      <c r="W192" s="47">
        <v>1.4</v>
      </c>
      <c r="X192" s="47">
        <v>1.1000000000000001</v>
      </c>
      <c r="Y192" s="47">
        <v>1.1000000000000001</v>
      </c>
      <c r="Z192" s="47">
        <v>1.2</v>
      </c>
      <c r="AA192" s="47">
        <v>2</v>
      </c>
      <c r="AB192" s="47">
        <v>2.2000000000000002</v>
      </c>
      <c r="AC192" s="47">
        <v>2.5</v>
      </c>
      <c r="AD192" s="47">
        <v>3</v>
      </c>
      <c r="AE192" s="10"/>
      <c r="AF192" s="10"/>
      <c r="AG192" s="10"/>
      <c r="AH192" s="10"/>
      <c r="AI192" s="10"/>
      <c r="AJ192" s="10"/>
      <c r="AK192" s="10"/>
      <c r="AL192" s="10"/>
      <c r="AM192" s="10"/>
    </row>
    <row r="193" spans="1:39" ht="15.75" hidden="1" customHeight="1" outlineLevel="1" x14ac:dyDescent="0.2">
      <c r="A193" s="48"/>
      <c r="B193" s="49" t="s">
        <v>35</v>
      </c>
      <c r="C193" s="50">
        <v>5000</v>
      </c>
      <c r="D193" s="51">
        <f t="shared" ref="D193:AD193" si="109">ROUND(D192*$C193,0)</f>
        <v>500</v>
      </c>
      <c r="E193" s="51">
        <f t="shared" si="109"/>
        <v>1000</v>
      </c>
      <c r="F193" s="51">
        <f t="shared" si="109"/>
        <v>1500</v>
      </c>
      <c r="G193" s="51">
        <f t="shared" si="109"/>
        <v>2500</v>
      </c>
      <c r="H193" s="51">
        <f t="shared" si="109"/>
        <v>2500</v>
      </c>
      <c r="I193" s="51">
        <f t="shared" si="109"/>
        <v>4000</v>
      </c>
      <c r="J193" s="51">
        <f t="shared" si="109"/>
        <v>3500</v>
      </c>
      <c r="K193" s="51">
        <f t="shared" si="109"/>
        <v>3000</v>
      </c>
      <c r="L193" s="51">
        <f t="shared" si="109"/>
        <v>2500</v>
      </c>
      <c r="M193" s="51">
        <f t="shared" si="109"/>
        <v>2500</v>
      </c>
      <c r="N193" s="51">
        <f t="shared" si="109"/>
        <v>3000</v>
      </c>
      <c r="O193" s="51">
        <f t="shared" si="109"/>
        <v>4000</v>
      </c>
      <c r="P193" s="51">
        <f t="shared" si="109"/>
        <v>5000</v>
      </c>
      <c r="Q193" s="51">
        <f t="shared" si="109"/>
        <v>6000</v>
      </c>
      <c r="R193" s="51">
        <f t="shared" si="109"/>
        <v>8000</v>
      </c>
      <c r="S193" s="51">
        <f t="shared" si="109"/>
        <v>7500</v>
      </c>
      <c r="T193" s="51">
        <f t="shared" si="109"/>
        <v>9000</v>
      </c>
      <c r="U193" s="51">
        <f t="shared" si="109"/>
        <v>10000</v>
      </c>
      <c r="V193" s="51">
        <f t="shared" si="109"/>
        <v>8000</v>
      </c>
      <c r="W193" s="51">
        <f t="shared" si="109"/>
        <v>7000</v>
      </c>
      <c r="X193" s="51">
        <f t="shared" si="109"/>
        <v>5500</v>
      </c>
      <c r="Y193" s="51">
        <f t="shared" si="109"/>
        <v>5500</v>
      </c>
      <c r="Z193" s="51">
        <f t="shared" si="109"/>
        <v>6000</v>
      </c>
      <c r="AA193" s="51">
        <f t="shared" si="109"/>
        <v>10000</v>
      </c>
      <c r="AB193" s="51">
        <f t="shared" si="109"/>
        <v>11000</v>
      </c>
      <c r="AC193" s="51">
        <f t="shared" si="109"/>
        <v>12500</v>
      </c>
      <c r="AD193" s="51">
        <f t="shared" si="109"/>
        <v>15000</v>
      </c>
      <c r="AE193" s="10"/>
      <c r="AF193" s="10"/>
      <c r="AG193" s="10"/>
      <c r="AH193" s="10"/>
      <c r="AI193" s="10"/>
      <c r="AJ193" s="10"/>
      <c r="AK193" s="10"/>
      <c r="AL193" s="10"/>
      <c r="AM193" s="10"/>
    </row>
    <row r="194" spans="1:39" ht="15.75" hidden="1" customHeight="1" outlineLevel="1" x14ac:dyDescent="0.2">
      <c r="A194" s="48"/>
      <c r="B194" s="49" t="s">
        <v>36</v>
      </c>
      <c r="C194" s="52">
        <v>0.1</v>
      </c>
      <c r="D194" s="22"/>
      <c r="E194" s="22"/>
      <c r="F194" s="22"/>
      <c r="G194" s="22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  <c r="Y194" s="22"/>
      <c r="Z194" s="22"/>
      <c r="AA194" s="22"/>
      <c r="AB194" s="22"/>
      <c r="AC194" s="22"/>
      <c r="AD194" s="22"/>
      <c r="AE194" s="10"/>
      <c r="AF194" s="10"/>
      <c r="AG194" s="10"/>
      <c r="AH194" s="10"/>
      <c r="AI194" s="10"/>
      <c r="AJ194" s="10"/>
      <c r="AK194" s="10"/>
      <c r="AL194" s="10"/>
      <c r="AM194" s="10"/>
    </row>
    <row r="195" spans="1:39" ht="15.75" hidden="1" customHeight="1" outlineLevel="1" x14ac:dyDescent="0.2">
      <c r="A195" s="48"/>
      <c r="B195" s="53" t="s">
        <v>37</v>
      </c>
      <c r="C195" s="54"/>
      <c r="D195" s="51">
        <f t="shared" ref="D195:AD195" si="110">ROUND(D193*$C194,0)</f>
        <v>50</v>
      </c>
      <c r="E195" s="51">
        <f t="shared" si="110"/>
        <v>100</v>
      </c>
      <c r="F195" s="51">
        <f t="shared" si="110"/>
        <v>150</v>
      </c>
      <c r="G195" s="51">
        <f t="shared" si="110"/>
        <v>250</v>
      </c>
      <c r="H195" s="51">
        <f t="shared" si="110"/>
        <v>250</v>
      </c>
      <c r="I195" s="51">
        <f t="shared" si="110"/>
        <v>400</v>
      </c>
      <c r="J195" s="51">
        <f t="shared" si="110"/>
        <v>350</v>
      </c>
      <c r="K195" s="51">
        <f t="shared" si="110"/>
        <v>300</v>
      </c>
      <c r="L195" s="51">
        <f t="shared" si="110"/>
        <v>250</v>
      </c>
      <c r="M195" s="51">
        <f t="shared" si="110"/>
        <v>250</v>
      </c>
      <c r="N195" s="51">
        <f t="shared" si="110"/>
        <v>300</v>
      </c>
      <c r="O195" s="51">
        <f t="shared" si="110"/>
        <v>400</v>
      </c>
      <c r="P195" s="51">
        <f t="shared" si="110"/>
        <v>500</v>
      </c>
      <c r="Q195" s="51">
        <f t="shared" si="110"/>
        <v>600</v>
      </c>
      <c r="R195" s="51">
        <f t="shared" si="110"/>
        <v>800</v>
      </c>
      <c r="S195" s="51">
        <f t="shared" si="110"/>
        <v>750</v>
      </c>
      <c r="T195" s="51">
        <f t="shared" si="110"/>
        <v>900</v>
      </c>
      <c r="U195" s="51">
        <f t="shared" si="110"/>
        <v>1000</v>
      </c>
      <c r="V195" s="51">
        <f t="shared" si="110"/>
        <v>800</v>
      </c>
      <c r="W195" s="51">
        <f t="shared" si="110"/>
        <v>700</v>
      </c>
      <c r="X195" s="51">
        <f t="shared" si="110"/>
        <v>550</v>
      </c>
      <c r="Y195" s="51">
        <f t="shared" si="110"/>
        <v>550</v>
      </c>
      <c r="Z195" s="51">
        <f t="shared" si="110"/>
        <v>600</v>
      </c>
      <c r="AA195" s="51">
        <f t="shared" si="110"/>
        <v>1000</v>
      </c>
      <c r="AB195" s="51">
        <f t="shared" si="110"/>
        <v>1100</v>
      </c>
      <c r="AC195" s="51">
        <f t="shared" si="110"/>
        <v>1250</v>
      </c>
      <c r="AD195" s="51">
        <f t="shared" si="110"/>
        <v>1500</v>
      </c>
      <c r="AE195" s="10"/>
      <c r="AF195" s="10"/>
      <c r="AG195" s="10"/>
      <c r="AH195" s="10"/>
      <c r="AI195" s="10"/>
      <c r="AJ195" s="10"/>
      <c r="AK195" s="10"/>
      <c r="AL195" s="10"/>
      <c r="AM195" s="10"/>
    </row>
    <row r="196" spans="1:39" ht="15.75" hidden="1" customHeight="1" outlineLevel="1" x14ac:dyDescent="0.2">
      <c r="A196" s="16"/>
      <c r="B196" s="49" t="s">
        <v>38</v>
      </c>
      <c r="C196" s="52">
        <v>0.2</v>
      </c>
      <c r="D196" s="51"/>
      <c r="E196" s="51"/>
      <c r="F196" s="51"/>
      <c r="G196" s="51"/>
      <c r="H196" s="51"/>
      <c r="I196" s="51"/>
      <c r="J196" s="51"/>
      <c r="K196" s="51"/>
      <c r="L196" s="51"/>
      <c r="M196" s="51"/>
      <c r="N196" s="51"/>
      <c r="O196" s="51"/>
      <c r="P196" s="51"/>
      <c r="Q196" s="51"/>
      <c r="R196" s="51"/>
      <c r="S196" s="51"/>
      <c r="T196" s="51"/>
      <c r="U196" s="51"/>
      <c r="V196" s="51"/>
      <c r="W196" s="51"/>
      <c r="X196" s="51"/>
      <c r="Y196" s="51"/>
      <c r="Z196" s="51"/>
      <c r="AA196" s="51"/>
      <c r="AB196" s="51"/>
      <c r="AC196" s="51"/>
      <c r="AD196" s="51"/>
      <c r="AE196" s="10"/>
      <c r="AF196" s="10"/>
      <c r="AG196" s="10"/>
      <c r="AH196" s="10"/>
      <c r="AI196" s="10"/>
      <c r="AJ196" s="10"/>
      <c r="AK196" s="10"/>
      <c r="AL196" s="10"/>
      <c r="AM196" s="10"/>
    </row>
    <row r="197" spans="1:39" ht="15.75" hidden="1" customHeight="1" outlineLevel="1" x14ac:dyDescent="0.2">
      <c r="A197" s="48"/>
      <c r="B197" s="53" t="s">
        <v>39</v>
      </c>
      <c r="C197" s="56"/>
      <c r="D197" s="51">
        <f t="shared" ref="D197:AD197" si="111">ROUND(D195*$C196,0)</f>
        <v>10</v>
      </c>
      <c r="E197" s="51">
        <f t="shared" si="111"/>
        <v>20</v>
      </c>
      <c r="F197" s="51">
        <f t="shared" si="111"/>
        <v>30</v>
      </c>
      <c r="G197" s="51">
        <f t="shared" si="111"/>
        <v>50</v>
      </c>
      <c r="H197" s="51">
        <f t="shared" si="111"/>
        <v>50</v>
      </c>
      <c r="I197" s="51">
        <f t="shared" si="111"/>
        <v>80</v>
      </c>
      <c r="J197" s="51">
        <f t="shared" si="111"/>
        <v>70</v>
      </c>
      <c r="K197" s="51">
        <f t="shared" si="111"/>
        <v>60</v>
      </c>
      <c r="L197" s="51">
        <f t="shared" si="111"/>
        <v>50</v>
      </c>
      <c r="M197" s="51">
        <f t="shared" si="111"/>
        <v>50</v>
      </c>
      <c r="N197" s="51">
        <f t="shared" si="111"/>
        <v>60</v>
      </c>
      <c r="O197" s="51">
        <f t="shared" si="111"/>
        <v>80</v>
      </c>
      <c r="P197" s="51">
        <f t="shared" si="111"/>
        <v>100</v>
      </c>
      <c r="Q197" s="51">
        <f t="shared" si="111"/>
        <v>120</v>
      </c>
      <c r="R197" s="51">
        <f t="shared" si="111"/>
        <v>160</v>
      </c>
      <c r="S197" s="51">
        <f t="shared" si="111"/>
        <v>150</v>
      </c>
      <c r="T197" s="51">
        <f t="shared" si="111"/>
        <v>180</v>
      </c>
      <c r="U197" s="51">
        <f t="shared" si="111"/>
        <v>200</v>
      </c>
      <c r="V197" s="51">
        <f t="shared" si="111"/>
        <v>160</v>
      </c>
      <c r="W197" s="51">
        <f t="shared" si="111"/>
        <v>140</v>
      </c>
      <c r="X197" s="51">
        <f t="shared" si="111"/>
        <v>110</v>
      </c>
      <c r="Y197" s="51">
        <f t="shared" si="111"/>
        <v>110</v>
      </c>
      <c r="Z197" s="51">
        <f t="shared" si="111"/>
        <v>120</v>
      </c>
      <c r="AA197" s="51">
        <f t="shared" si="111"/>
        <v>200</v>
      </c>
      <c r="AB197" s="51">
        <f t="shared" si="111"/>
        <v>220</v>
      </c>
      <c r="AC197" s="51">
        <f t="shared" si="111"/>
        <v>250</v>
      </c>
      <c r="AD197" s="51">
        <f t="shared" si="111"/>
        <v>300</v>
      </c>
      <c r="AE197" s="10"/>
      <c r="AF197" s="10"/>
      <c r="AG197" s="10"/>
      <c r="AH197" s="10"/>
      <c r="AI197" s="10"/>
      <c r="AJ197" s="10"/>
      <c r="AK197" s="10"/>
      <c r="AL197" s="10"/>
      <c r="AM197" s="10"/>
    </row>
    <row r="198" spans="1:39" ht="15.75" hidden="1" customHeight="1" outlineLevel="1" x14ac:dyDescent="0.2">
      <c r="A198" s="16"/>
      <c r="B198" s="49" t="s">
        <v>40</v>
      </c>
      <c r="C198" s="52">
        <v>0.3</v>
      </c>
      <c r="D198" s="51"/>
      <c r="E198" s="51"/>
      <c r="F198" s="51"/>
      <c r="G198" s="51"/>
      <c r="H198" s="51"/>
      <c r="I198" s="51"/>
      <c r="J198" s="51"/>
      <c r="K198" s="51"/>
      <c r="L198" s="51"/>
      <c r="M198" s="51"/>
      <c r="N198" s="51"/>
      <c r="O198" s="51"/>
      <c r="P198" s="51"/>
      <c r="Q198" s="51"/>
      <c r="R198" s="51"/>
      <c r="S198" s="51"/>
      <c r="T198" s="51"/>
      <c r="U198" s="51"/>
      <c r="V198" s="51"/>
      <c r="W198" s="51"/>
      <c r="X198" s="51"/>
      <c r="Y198" s="51"/>
      <c r="Z198" s="51"/>
      <c r="AA198" s="51"/>
      <c r="AB198" s="51"/>
      <c r="AC198" s="51"/>
      <c r="AD198" s="51"/>
      <c r="AE198" s="10"/>
      <c r="AF198" s="10"/>
      <c r="AG198" s="10"/>
      <c r="AH198" s="10"/>
      <c r="AI198" s="10"/>
      <c r="AJ198" s="10"/>
      <c r="AK198" s="10"/>
      <c r="AL198" s="10"/>
      <c r="AM198" s="10"/>
    </row>
    <row r="199" spans="1:39" ht="15.75" hidden="1" customHeight="1" outlineLevel="1" x14ac:dyDescent="0.2">
      <c r="A199" s="16"/>
      <c r="B199" s="53" t="s">
        <v>41</v>
      </c>
      <c r="C199" s="56"/>
      <c r="D199" s="51">
        <f t="shared" ref="D199:AD199" si="112">ROUND(D197*$C198,0)</f>
        <v>3</v>
      </c>
      <c r="E199" s="51">
        <f t="shared" si="112"/>
        <v>6</v>
      </c>
      <c r="F199" s="51">
        <f t="shared" si="112"/>
        <v>9</v>
      </c>
      <c r="G199" s="51">
        <f t="shared" si="112"/>
        <v>15</v>
      </c>
      <c r="H199" s="51">
        <f t="shared" si="112"/>
        <v>15</v>
      </c>
      <c r="I199" s="51">
        <f t="shared" si="112"/>
        <v>24</v>
      </c>
      <c r="J199" s="51">
        <f t="shared" si="112"/>
        <v>21</v>
      </c>
      <c r="K199" s="51">
        <f t="shared" si="112"/>
        <v>18</v>
      </c>
      <c r="L199" s="51">
        <f t="shared" si="112"/>
        <v>15</v>
      </c>
      <c r="M199" s="51">
        <f t="shared" si="112"/>
        <v>15</v>
      </c>
      <c r="N199" s="51">
        <f t="shared" si="112"/>
        <v>18</v>
      </c>
      <c r="O199" s="51">
        <f t="shared" si="112"/>
        <v>24</v>
      </c>
      <c r="P199" s="51">
        <f t="shared" si="112"/>
        <v>30</v>
      </c>
      <c r="Q199" s="51">
        <f t="shared" si="112"/>
        <v>36</v>
      </c>
      <c r="R199" s="51">
        <f t="shared" si="112"/>
        <v>48</v>
      </c>
      <c r="S199" s="51">
        <f t="shared" si="112"/>
        <v>45</v>
      </c>
      <c r="T199" s="51">
        <f t="shared" si="112"/>
        <v>54</v>
      </c>
      <c r="U199" s="51">
        <f t="shared" si="112"/>
        <v>60</v>
      </c>
      <c r="V199" s="51">
        <f t="shared" si="112"/>
        <v>48</v>
      </c>
      <c r="W199" s="51">
        <f t="shared" si="112"/>
        <v>42</v>
      </c>
      <c r="X199" s="51">
        <f t="shared" si="112"/>
        <v>33</v>
      </c>
      <c r="Y199" s="51">
        <f t="shared" si="112"/>
        <v>33</v>
      </c>
      <c r="Z199" s="51">
        <f t="shared" si="112"/>
        <v>36</v>
      </c>
      <c r="AA199" s="51">
        <f t="shared" si="112"/>
        <v>60</v>
      </c>
      <c r="AB199" s="51">
        <f t="shared" si="112"/>
        <v>66</v>
      </c>
      <c r="AC199" s="51">
        <f t="shared" si="112"/>
        <v>75</v>
      </c>
      <c r="AD199" s="51">
        <f t="shared" si="112"/>
        <v>90</v>
      </c>
      <c r="AE199" s="10"/>
      <c r="AF199" s="10"/>
      <c r="AG199" s="10"/>
      <c r="AH199" s="10"/>
      <c r="AI199" s="10"/>
      <c r="AJ199" s="10"/>
      <c r="AK199" s="10"/>
      <c r="AL199" s="10"/>
      <c r="AM199" s="10"/>
    </row>
    <row r="200" spans="1:39" ht="15.75" hidden="1" customHeight="1" outlineLevel="1" x14ac:dyDescent="0.2">
      <c r="A200" s="16"/>
      <c r="B200" s="53" t="s">
        <v>44</v>
      </c>
      <c r="C200" s="58">
        <v>2040</v>
      </c>
      <c r="D200" s="51"/>
      <c r="E200" s="51"/>
      <c r="F200" s="51"/>
      <c r="G200" s="51"/>
      <c r="H200" s="51"/>
      <c r="I200" s="51"/>
      <c r="J200" s="51"/>
      <c r="K200" s="51"/>
      <c r="L200" s="51"/>
      <c r="M200" s="51"/>
      <c r="N200" s="51"/>
      <c r="O200" s="51"/>
      <c r="P200" s="51"/>
      <c r="Q200" s="51"/>
      <c r="R200" s="51"/>
      <c r="S200" s="51"/>
      <c r="T200" s="51"/>
      <c r="U200" s="51"/>
      <c r="V200" s="51"/>
      <c r="W200" s="51"/>
      <c r="X200" s="51"/>
      <c r="Y200" s="51"/>
      <c r="Z200" s="51"/>
      <c r="AA200" s="51"/>
      <c r="AB200" s="51"/>
      <c r="AC200" s="51"/>
      <c r="AD200" s="51"/>
      <c r="AE200" s="10"/>
      <c r="AF200" s="10"/>
      <c r="AG200" s="10"/>
      <c r="AH200" s="10"/>
      <c r="AI200" s="10"/>
      <c r="AJ200" s="10"/>
      <c r="AK200" s="10"/>
      <c r="AL200" s="10"/>
      <c r="AM200" s="10"/>
    </row>
    <row r="201" spans="1:39" ht="21.75" customHeight="1" collapsed="1" x14ac:dyDescent="0.25">
      <c r="A201" s="65"/>
      <c r="B201" s="539" t="s">
        <v>440</v>
      </c>
      <c r="C201" s="67" t="s">
        <v>31</v>
      </c>
      <c r="D201" s="68">
        <f t="shared" ref="D201:AD201" si="113">D209*$C210</f>
        <v>12600</v>
      </c>
      <c r="E201" s="68">
        <f t="shared" si="113"/>
        <v>25200</v>
      </c>
      <c r="F201" s="68">
        <f t="shared" si="113"/>
        <v>37800</v>
      </c>
      <c r="G201" s="68">
        <f t="shared" si="113"/>
        <v>63000</v>
      </c>
      <c r="H201" s="68">
        <f t="shared" si="113"/>
        <v>63000</v>
      </c>
      <c r="I201" s="68">
        <f t="shared" si="113"/>
        <v>100800</v>
      </c>
      <c r="J201" s="68">
        <f t="shared" si="113"/>
        <v>88200</v>
      </c>
      <c r="K201" s="68">
        <f t="shared" si="113"/>
        <v>75600</v>
      </c>
      <c r="L201" s="68">
        <f t="shared" si="113"/>
        <v>63000</v>
      </c>
      <c r="M201" s="68">
        <f t="shared" si="113"/>
        <v>63000</v>
      </c>
      <c r="N201" s="68">
        <f t="shared" si="113"/>
        <v>75600</v>
      </c>
      <c r="O201" s="68">
        <f t="shared" si="113"/>
        <v>100800</v>
      </c>
      <c r="P201" s="68">
        <f t="shared" si="113"/>
        <v>126000</v>
      </c>
      <c r="Q201" s="68">
        <f t="shared" si="113"/>
        <v>151200</v>
      </c>
      <c r="R201" s="68">
        <f t="shared" si="113"/>
        <v>201600</v>
      </c>
      <c r="S201" s="68">
        <f t="shared" si="113"/>
        <v>189000</v>
      </c>
      <c r="T201" s="68">
        <f t="shared" si="113"/>
        <v>226800</v>
      </c>
      <c r="U201" s="68">
        <f t="shared" si="113"/>
        <v>252000</v>
      </c>
      <c r="V201" s="68">
        <f t="shared" si="113"/>
        <v>201600</v>
      </c>
      <c r="W201" s="68">
        <f t="shared" si="113"/>
        <v>176400</v>
      </c>
      <c r="X201" s="68">
        <f t="shared" si="113"/>
        <v>138600</v>
      </c>
      <c r="Y201" s="68">
        <f t="shared" si="113"/>
        <v>138600</v>
      </c>
      <c r="Z201" s="68">
        <f t="shared" si="113"/>
        <v>151200</v>
      </c>
      <c r="AA201" s="68">
        <f t="shared" si="113"/>
        <v>252000</v>
      </c>
      <c r="AB201" s="68">
        <f t="shared" si="113"/>
        <v>277200</v>
      </c>
      <c r="AC201" s="68">
        <f t="shared" si="113"/>
        <v>315000</v>
      </c>
      <c r="AD201" s="68">
        <f t="shared" si="113"/>
        <v>378000</v>
      </c>
      <c r="AE201" s="64"/>
      <c r="AF201" s="64"/>
      <c r="AG201" s="64"/>
      <c r="AH201" s="64"/>
      <c r="AI201" s="64"/>
      <c r="AJ201" s="64"/>
      <c r="AK201" s="64"/>
      <c r="AL201" s="64"/>
      <c r="AM201" s="64"/>
    </row>
    <row r="202" spans="1:39" ht="16.5" hidden="1" customHeight="1" outlineLevel="1" x14ac:dyDescent="0.2">
      <c r="A202" s="16"/>
      <c r="B202" s="46" t="s">
        <v>33</v>
      </c>
      <c r="C202" s="7" t="s">
        <v>34</v>
      </c>
      <c r="D202" s="47">
        <v>0.1</v>
      </c>
      <c r="E202" s="47">
        <v>0.2</v>
      </c>
      <c r="F202" s="47">
        <v>0.3</v>
      </c>
      <c r="G202" s="47">
        <v>0.5</v>
      </c>
      <c r="H202" s="47">
        <v>0.5</v>
      </c>
      <c r="I202" s="47">
        <v>0.8</v>
      </c>
      <c r="J202" s="47">
        <v>0.7</v>
      </c>
      <c r="K202" s="47">
        <v>0.6</v>
      </c>
      <c r="L202" s="47">
        <v>0.5</v>
      </c>
      <c r="M202" s="47">
        <v>0.5</v>
      </c>
      <c r="N202" s="47">
        <v>0.6</v>
      </c>
      <c r="O202" s="47">
        <v>0.8</v>
      </c>
      <c r="P202" s="47">
        <v>1</v>
      </c>
      <c r="Q202" s="47">
        <v>1.2</v>
      </c>
      <c r="R202" s="47">
        <v>1.6</v>
      </c>
      <c r="S202" s="47">
        <v>1.5</v>
      </c>
      <c r="T202" s="47">
        <v>1.8</v>
      </c>
      <c r="U202" s="47">
        <v>2</v>
      </c>
      <c r="V202" s="47">
        <v>1.6</v>
      </c>
      <c r="W202" s="47">
        <v>1.4</v>
      </c>
      <c r="X202" s="47">
        <v>1.1000000000000001</v>
      </c>
      <c r="Y202" s="47">
        <v>1.1000000000000001</v>
      </c>
      <c r="Z202" s="47">
        <v>1.2</v>
      </c>
      <c r="AA202" s="47">
        <v>2</v>
      </c>
      <c r="AB202" s="47">
        <v>2.2000000000000002</v>
      </c>
      <c r="AC202" s="47">
        <v>2.5</v>
      </c>
      <c r="AD202" s="47">
        <v>3</v>
      </c>
      <c r="AE202" s="10"/>
      <c r="AF202" s="10"/>
      <c r="AG202" s="10"/>
      <c r="AH202" s="10"/>
      <c r="AI202" s="10"/>
      <c r="AJ202" s="10"/>
      <c r="AK202" s="10"/>
      <c r="AL202" s="10"/>
      <c r="AM202" s="10"/>
    </row>
    <row r="203" spans="1:39" ht="15.75" hidden="1" customHeight="1" outlineLevel="1" x14ac:dyDescent="0.2">
      <c r="A203" s="48"/>
      <c r="B203" s="49" t="s">
        <v>35</v>
      </c>
      <c r="C203" s="50">
        <v>5000</v>
      </c>
      <c r="D203" s="51">
        <f t="shared" ref="D203:AD203" si="114">ROUND(D202*$C203,0)</f>
        <v>500</v>
      </c>
      <c r="E203" s="51">
        <f t="shared" si="114"/>
        <v>1000</v>
      </c>
      <c r="F203" s="51">
        <f t="shared" si="114"/>
        <v>1500</v>
      </c>
      <c r="G203" s="51">
        <f t="shared" si="114"/>
        <v>2500</v>
      </c>
      <c r="H203" s="51">
        <f t="shared" si="114"/>
        <v>2500</v>
      </c>
      <c r="I203" s="51">
        <f t="shared" si="114"/>
        <v>4000</v>
      </c>
      <c r="J203" s="51">
        <f t="shared" si="114"/>
        <v>3500</v>
      </c>
      <c r="K203" s="51">
        <f t="shared" si="114"/>
        <v>3000</v>
      </c>
      <c r="L203" s="51">
        <f t="shared" si="114"/>
        <v>2500</v>
      </c>
      <c r="M203" s="51">
        <f t="shared" si="114"/>
        <v>2500</v>
      </c>
      <c r="N203" s="51">
        <f t="shared" si="114"/>
        <v>3000</v>
      </c>
      <c r="O203" s="51">
        <f t="shared" si="114"/>
        <v>4000</v>
      </c>
      <c r="P203" s="51">
        <f t="shared" si="114"/>
        <v>5000</v>
      </c>
      <c r="Q203" s="51">
        <f t="shared" si="114"/>
        <v>6000</v>
      </c>
      <c r="R203" s="51">
        <f t="shared" si="114"/>
        <v>8000</v>
      </c>
      <c r="S203" s="51">
        <f t="shared" si="114"/>
        <v>7500</v>
      </c>
      <c r="T203" s="51">
        <f t="shared" si="114"/>
        <v>9000</v>
      </c>
      <c r="U203" s="51">
        <f t="shared" si="114"/>
        <v>10000</v>
      </c>
      <c r="V203" s="51">
        <f t="shared" si="114"/>
        <v>8000</v>
      </c>
      <c r="W203" s="51">
        <f t="shared" si="114"/>
        <v>7000</v>
      </c>
      <c r="X203" s="51">
        <f t="shared" si="114"/>
        <v>5500</v>
      </c>
      <c r="Y203" s="51">
        <f t="shared" si="114"/>
        <v>5500</v>
      </c>
      <c r="Z203" s="51">
        <f t="shared" si="114"/>
        <v>6000</v>
      </c>
      <c r="AA203" s="51">
        <f t="shared" si="114"/>
        <v>10000</v>
      </c>
      <c r="AB203" s="51">
        <f t="shared" si="114"/>
        <v>11000</v>
      </c>
      <c r="AC203" s="51">
        <f t="shared" si="114"/>
        <v>12500</v>
      </c>
      <c r="AD203" s="51">
        <f t="shared" si="114"/>
        <v>15000</v>
      </c>
      <c r="AE203" s="10"/>
      <c r="AF203" s="10"/>
      <c r="AG203" s="10"/>
      <c r="AH203" s="10"/>
      <c r="AI203" s="10"/>
      <c r="AJ203" s="10"/>
      <c r="AK203" s="10"/>
      <c r="AL203" s="10"/>
      <c r="AM203" s="10"/>
    </row>
    <row r="204" spans="1:39" ht="15.75" hidden="1" customHeight="1" outlineLevel="1" x14ac:dyDescent="0.2">
      <c r="A204" s="48"/>
      <c r="B204" s="49" t="s">
        <v>36</v>
      </c>
      <c r="C204" s="52">
        <v>0.1</v>
      </c>
      <c r="D204" s="22"/>
      <c r="E204" s="22"/>
      <c r="F204" s="22"/>
      <c r="G204" s="22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  <c r="U204" s="22"/>
      <c r="V204" s="22"/>
      <c r="W204" s="22"/>
      <c r="X204" s="22"/>
      <c r="Y204" s="22"/>
      <c r="Z204" s="22"/>
      <c r="AA204" s="22"/>
      <c r="AB204" s="22"/>
      <c r="AC204" s="22"/>
      <c r="AD204" s="22"/>
      <c r="AE204" s="10"/>
      <c r="AF204" s="10"/>
      <c r="AG204" s="10"/>
      <c r="AH204" s="10"/>
      <c r="AI204" s="10"/>
      <c r="AJ204" s="10"/>
      <c r="AK204" s="10"/>
      <c r="AL204" s="10"/>
      <c r="AM204" s="10"/>
    </row>
    <row r="205" spans="1:39" ht="15.75" hidden="1" customHeight="1" outlineLevel="1" x14ac:dyDescent="0.2">
      <c r="A205" s="48"/>
      <c r="B205" s="53" t="s">
        <v>37</v>
      </c>
      <c r="C205" s="54"/>
      <c r="D205" s="51">
        <f t="shared" ref="D205:AD205" si="115">ROUND(D203*$C204,0)</f>
        <v>50</v>
      </c>
      <c r="E205" s="51">
        <f t="shared" si="115"/>
        <v>100</v>
      </c>
      <c r="F205" s="51">
        <f t="shared" si="115"/>
        <v>150</v>
      </c>
      <c r="G205" s="51">
        <f t="shared" si="115"/>
        <v>250</v>
      </c>
      <c r="H205" s="51">
        <f t="shared" si="115"/>
        <v>250</v>
      </c>
      <c r="I205" s="51">
        <f t="shared" si="115"/>
        <v>400</v>
      </c>
      <c r="J205" s="51">
        <f t="shared" si="115"/>
        <v>350</v>
      </c>
      <c r="K205" s="51">
        <f t="shared" si="115"/>
        <v>300</v>
      </c>
      <c r="L205" s="51">
        <f t="shared" si="115"/>
        <v>250</v>
      </c>
      <c r="M205" s="51">
        <f t="shared" si="115"/>
        <v>250</v>
      </c>
      <c r="N205" s="51">
        <f t="shared" si="115"/>
        <v>300</v>
      </c>
      <c r="O205" s="51">
        <f t="shared" si="115"/>
        <v>400</v>
      </c>
      <c r="P205" s="51">
        <f t="shared" si="115"/>
        <v>500</v>
      </c>
      <c r="Q205" s="51">
        <f t="shared" si="115"/>
        <v>600</v>
      </c>
      <c r="R205" s="51">
        <f t="shared" si="115"/>
        <v>800</v>
      </c>
      <c r="S205" s="51">
        <f t="shared" si="115"/>
        <v>750</v>
      </c>
      <c r="T205" s="51">
        <f t="shared" si="115"/>
        <v>900</v>
      </c>
      <c r="U205" s="51">
        <f t="shared" si="115"/>
        <v>1000</v>
      </c>
      <c r="V205" s="51">
        <f t="shared" si="115"/>
        <v>800</v>
      </c>
      <c r="W205" s="51">
        <f t="shared" si="115"/>
        <v>700</v>
      </c>
      <c r="X205" s="51">
        <f t="shared" si="115"/>
        <v>550</v>
      </c>
      <c r="Y205" s="51">
        <f t="shared" si="115"/>
        <v>550</v>
      </c>
      <c r="Z205" s="51">
        <f t="shared" si="115"/>
        <v>600</v>
      </c>
      <c r="AA205" s="51">
        <f t="shared" si="115"/>
        <v>1000</v>
      </c>
      <c r="AB205" s="51">
        <f t="shared" si="115"/>
        <v>1100</v>
      </c>
      <c r="AC205" s="51">
        <f t="shared" si="115"/>
        <v>1250</v>
      </c>
      <c r="AD205" s="51">
        <f t="shared" si="115"/>
        <v>1500</v>
      </c>
      <c r="AE205" s="10"/>
      <c r="AF205" s="10"/>
      <c r="AG205" s="10"/>
      <c r="AH205" s="10"/>
      <c r="AI205" s="10"/>
      <c r="AJ205" s="10"/>
      <c r="AK205" s="10"/>
      <c r="AL205" s="10"/>
      <c r="AM205" s="10"/>
    </row>
    <row r="206" spans="1:39" ht="15.75" hidden="1" customHeight="1" outlineLevel="1" x14ac:dyDescent="0.2">
      <c r="A206" s="16"/>
      <c r="B206" s="49" t="s">
        <v>38</v>
      </c>
      <c r="C206" s="52">
        <v>0.2</v>
      </c>
      <c r="D206" s="51"/>
      <c r="E206" s="51"/>
      <c r="F206" s="51"/>
      <c r="G206" s="51"/>
      <c r="H206" s="51"/>
      <c r="I206" s="51"/>
      <c r="J206" s="51"/>
      <c r="K206" s="51"/>
      <c r="L206" s="51"/>
      <c r="M206" s="51"/>
      <c r="N206" s="51"/>
      <c r="O206" s="51"/>
      <c r="P206" s="51"/>
      <c r="Q206" s="51"/>
      <c r="R206" s="51"/>
      <c r="S206" s="51"/>
      <c r="T206" s="51"/>
      <c r="U206" s="51"/>
      <c r="V206" s="51"/>
      <c r="W206" s="51"/>
      <c r="X206" s="51"/>
      <c r="Y206" s="51"/>
      <c r="Z206" s="51"/>
      <c r="AA206" s="51"/>
      <c r="AB206" s="51"/>
      <c r="AC206" s="51"/>
      <c r="AD206" s="51"/>
      <c r="AE206" s="10"/>
      <c r="AF206" s="10"/>
      <c r="AG206" s="10"/>
      <c r="AH206" s="10"/>
      <c r="AI206" s="10"/>
      <c r="AJ206" s="10"/>
      <c r="AK206" s="10"/>
      <c r="AL206" s="10"/>
      <c r="AM206" s="10"/>
    </row>
    <row r="207" spans="1:39" ht="15.75" hidden="1" customHeight="1" outlineLevel="1" x14ac:dyDescent="0.2">
      <c r="A207" s="48"/>
      <c r="B207" s="53" t="s">
        <v>39</v>
      </c>
      <c r="C207" s="56"/>
      <c r="D207" s="51">
        <f t="shared" ref="D207:AD207" si="116">ROUND(D205*$C206,0)</f>
        <v>10</v>
      </c>
      <c r="E207" s="51">
        <f t="shared" si="116"/>
        <v>20</v>
      </c>
      <c r="F207" s="51">
        <f t="shared" si="116"/>
        <v>30</v>
      </c>
      <c r="G207" s="51">
        <f t="shared" si="116"/>
        <v>50</v>
      </c>
      <c r="H207" s="51">
        <f t="shared" si="116"/>
        <v>50</v>
      </c>
      <c r="I207" s="51">
        <f t="shared" si="116"/>
        <v>80</v>
      </c>
      <c r="J207" s="51">
        <f t="shared" si="116"/>
        <v>70</v>
      </c>
      <c r="K207" s="51">
        <f t="shared" si="116"/>
        <v>60</v>
      </c>
      <c r="L207" s="51">
        <f t="shared" si="116"/>
        <v>50</v>
      </c>
      <c r="M207" s="51">
        <f t="shared" si="116"/>
        <v>50</v>
      </c>
      <c r="N207" s="51">
        <f t="shared" si="116"/>
        <v>60</v>
      </c>
      <c r="O207" s="51">
        <f t="shared" si="116"/>
        <v>80</v>
      </c>
      <c r="P207" s="51">
        <f t="shared" si="116"/>
        <v>100</v>
      </c>
      <c r="Q207" s="51">
        <f t="shared" si="116"/>
        <v>120</v>
      </c>
      <c r="R207" s="51">
        <f t="shared" si="116"/>
        <v>160</v>
      </c>
      <c r="S207" s="51">
        <f t="shared" si="116"/>
        <v>150</v>
      </c>
      <c r="T207" s="51">
        <f t="shared" si="116"/>
        <v>180</v>
      </c>
      <c r="U207" s="51">
        <f t="shared" si="116"/>
        <v>200</v>
      </c>
      <c r="V207" s="51">
        <f t="shared" si="116"/>
        <v>160</v>
      </c>
      <c r="W207" s="51">
        <f t="shared" si="116"/>
        <v>140</v>
      </c>
      <c r="X207" s="51">
        <f t="shared" si="116"/>
        <v>110</v>
      </c>
      <c r="Y207" s="51">
        <f t="shared" si="116"/>
        <v>110</v>
      </c>
      <c r="Z207" s="51">
        <f t="shared" si="116"/>
        <v>120</v>
      </c>
      <c r="AA207" s="51">
        <f t="shared" si="116"/>
        <v>200</v>
      </c>
      <c r="AB207" s="51">
        <f t="shared" si="116"/>
        <v>220</v>
      </c>
      <c r="AC207" s="51">
        <f t="shared" si="116"/>
        <v>250</v>
      </c>
      <c r="AD207" s="51">
        <f t="shared" si="116"/>
        <v>300</v>
      </c>
      <c r="AE207" s="10"/>
      <c r="AF207" s="10"/>
      <c r="AG207" s="10"/>
      <c r="AH207" s="10"/>
      <c r="AI207" s="10"/>
      <c r="AJ207" s="10"/>
      <c r="AK207" s="10"/>
      <c r="AL207" s="10"/>
      <c r="AM207" s="10"/>
    </row>
    <row r="208" spans="1:39" ht="15.75" hidden="1" customHeight="1" outlineLevel="1" x14ac:dyDescent="0.2">
      <c r="A208" s="16"/>
      <c r="B208" s="49" t="s">
        <v>40</v>
      </c>
      <c r="C208" s="52">
        <v>0.3</v>
      </c>
      <c r="D208" s="51"/>
      <c r="E208" s="51"/>
      <c r="F208" s="51"/>
      <c r="G208" s="51"/>
      <c r="H208" s="51"/>
      <c r="I208" s="51"/>
      <c r="J208" s="51"/>
      <c r="K208" s="51"/>
      <c r="L208" s="51"/>
      <c r="M208" s="51"/>
      <c r="N208" s="51"/>
      <c r="O208" s="51"/>
      <c r="P208" s="51"/>
      <c r="Q208" s="51"/>
      <c r="R208" s="51"/>
      <c r="S208" s="51"/>
      <c r="T208" s="51"/>
      <c r="U208" s="51"/>
      <c r="V208" s="51"/>
      <c r="W208" s="51"/>
      <c r="X208" s="51"/>
      <c r="Y208" s="51"/>
      <c r="Z208" s="51"/>
      <c r="AA208" s="51"/>
      <c r="AB208" s="51"/>
      <c r="AC208" s="51"/>
      <c r="AD208" s="51"/>
      <c r="AE208" s="10"/>
      <c r="AF208" s="10"/>
      <c r="AG208" s="10"/>
      <c r="AH208" s="10"/>
      <c r="AI208" s="10"/>
      <c r="AJ208" s="10"/>
      <c r="AK208" s="10"/>
      <c r="AL208" s="10"/>
      <c r="AM208" s="10"/>
    </row>
    <row r="209" spans="1:39" ht="15.75" hidden="1" customHeight="1" outlineLevel="1" x14ac:dyDescent="0.2">
      <c r="A209" s="16"/>
      <c r="B209" s="53" t="s">
        <v>41</v>
      </c>
      <c r="C209" s="56"/>
      <c r="D209" s="51">
        <f t="shared" ref="D209:AD209" si="117">ROUND(D207*$C208,0)</f>
        <v>3</v>
      </c>
      <c r="E209" s="51">
        <f t="shared" si="117"/>
        <v>6</v>
      </c>
      <c r="F209" s="51">
        <f t="shared" si="117"/>
        <v>9</v>
      </c>
      <c r="G209" s="51">
        <f t="shared" si="117"/>
        <v>15</v>
      </c>
      <c r="H209" s="51">
        <f t="shared" si="117"/>
        <v>15</v>
      </c>
      <c r="I209" s="51">
        <f t="shared" si="117"/>
        <v>24</v>
      </c>
      <c r="J209" s="51">
        <f t="shared" si="117"/>
        <v>21</v>
      </c>
      <c r="K209" s="51">
        <f t="shared" si="117"/>
        <v>18</v>
      </c>
      <c r="L209" s="51">
        <f t="shared" si="117"/>
        <v>15</v>
      </c>
      <c r="M209" s="51">
        <f t="shared" si="117"/>
        <v>15</v>
      </c>
      <c r="N209" s="51">
        <f t="shared" si="117"/>
        <v>18</v>
      </c>
      <c r="O209" s="51">
        <f t="shared" si="117"/>
        <v>24</v>
      </c>
      <c r="P209" s="51">
        <f t="shared" si="117"/>
        <v>30</v>
      </c>
      <c r="Q209" s="51">
        <f t="shared" si="117"/>
        <v>36</v>
      </c>
      <c r="R209" s="51">
        <f t="shared" si="117"/>
        <v>48</v>
      </c>
      <c r="S209" s="51">
        <f t="shared" si="117"/>
        <v>45</v>
      </c>
      <c r="T209" s="51">
        <f t="shared" si="117"/>
        <v>54</v>
      </c>
      <c r="U209" s="51">
        <f t="shared" si="117"/>
        <v>60</v>
      </c>
      <c r="V209" s="51">
        <f t="shared" si="117"/>
        <v>48</v>
      </c>
      <c r="W209" s="51">
        <f t="shared" si="117"/>
        <v>42</v>
      </c>
      <c r="X209" s="51">
        <f t="shared" si="117"/>
        <v>33</v>
      </c>
      <c r="Y209" s="51">
        <f t="shared" si="117"/>
        <v>33</v>
      </c>
      <c r="Z209" s="51">
        <f t="shared" si="117"/>
        <v>36</v>
      </c>
      <c r="AA209" s="51">
        <f t="shared" si="117"/>
        <v>60</v>
      </c>
      <c r="AB209" s="51">
        <f t="shared" si="117"/>
        <v>66</v>
      </c>
      <c r="AC209" s="51">
        <f t="shared" si="117"/>
        <v>75</v>
      </c>
      <c r="AD209" s="51">
        <f t="shared" si="117"/>
        <v>90</v>
      </c>
      <c r="AE209" s="10"/>
      <c r="AF209" s="10"/>
      <c r="AG209" s="10"/>
      <c r="AH209" s="10"/>
      <c r="AI209" s="10"/>
      <c r="AJ209" s="10"/>
      <c r="AK209" s="10"/>
      <c r="AL209" s="10"/>
      <c r="AM209" s="10"/>
    </row>
    <row r="210" spans="1:39" ht="15.75" hidden="1" customHeight="1" outlineLevel="1" x14ac:dyDescent="0.2">
      <c r="A210" s="16"/>
      <c r="B210" s="53" t="s">
        <v>44</v>
      </c>
      <c r="C210" s="58">
        <v>4200</v>
      </c>
      <c r="D210" s="51"/>
      <c r="E210" s="51"/>
      <c r="F210" s="51"/>
      <c r="G210" s="51"/>
      <c r="H210" s="51"/>
      <c r="I210" s="51"/>
      <c r="J210" s="51"/>
      <c r="K210" s="51"/>
      <c r="L210" s="51"/>
      <c r="M210" s="51"/>
      <c r="N210" s="51"/>
      <c r="O210" s="51"/>
      <c r="P210" s="51"/>
      <c r="Q210" s="51"/>
      <c r="R210" s="51"/>
      <c r="S210" s="51"/>
      <c r="T210" s="51"/>
      <c r="U210" s="51"/>
      <c r="V210" s="51"/>
      <c r="W210" s="51"/>
      <c r="X210" s="51"/>
      <c r="Y210" s="51"/>
      <c r="Z210" s="51"/>
      <c r="AA210" s="51"/>
      <c r="AB210" s="51"/>
      <c r="AC210" s="51"/>
      <c r="AD210" s="51"/>
      <c r="AE210" s="10"/>
      <c r="AF210" s="10"/>
      <c r="AG210" s="10"/>
      <c r="AH210" s="10"/>
      <c r="AI210" s="10"/>
      <c r="AJ210" s="10"/>
      <c r="AK210" s="10"/>
      <c r="AL210" s="10"/>
      <c r="AM210" s="10"/>
    </row>
    <row r="211" spans="1:39" ht="15.75" customHeight="1" x14ac:dyDescent="0.2">
      <c r="A211" s="18"/>
      <c r="B211" s="69"/>
      <c r="C211" s="70"/>
      <c r="D211" s="71"/>
      <c r="E211" s="72"/>
      <c r="F211" s="72"/>
      <c r="G211" s="72"/>
      <c r="H211" s="72"/>
      <c r="I211" s="72"/>
      <c r="J211" s="72"/>
      <c r="K211" s="72"/>
      <c r="L211" s="72"/>
      <c r="M211" s="72"/>
      <c r="N211" s="72"/>
      <c r="O211" s="72"/>
      <c r="P211" s="72"/>
      <c r="Q211" s="72"/>
      <c r="R211" s="72"/>
      <c r="S211" s="72"/>
      <c r="T211" s="72"/>
      <c r="U211" s="72"/>
      <c r="V211" s="72"/>
      <c r="W211" s="72"/>
      <c r="X211" s="72"/>
      <c r="Y211" s="72"/>
      <c r="Z211" s="72"/>
      <c r="AA211" s="72"/>
      <c r="AB211" s="72"/>
      <c r="AC211" s="72"/>
      <c r="AD211" s="72"/>
      <c r="AE211" s="10"/>
      <c r="AF211" s="10"/>
      <c r="AG211" s="10"/>
      <c r="AH211" s="10"/>
      <c r="AI211" s="10"/>
      <c r="AJ211" s="10"/>
      <c r="AK211" s="10"/>
      <c r="AL211" s="10"/>
      <c r="AM211" s="10"/>
    </row>
    <row r="212" spans="1:39" ht="15.75" customHeight="1" x14ac:dyDescent="0.2">
      <c r="A212" s="36"/>
      <c r="B212" s="73" t="s">
        <v>48</v>
      </c>
      <c r="C212" s="74"/>
      <c r="D212" s="38">
        <f t="shared" ref="D212:AD212" si="118">D213+D250+D287</f>
        <v>-64715.700000000004</v>
      </c>
      <c r="E212" s="38">
        <f t="shared" si="118"/>
        <v>-134442.9</v>
      </c>
      <c r="F212" s="38">
        <f t="shared" si="118"/>
        <v>-197189.43</v>
      </c>
      <c r="G212" s="38">
        <f t="shared" si="118"/>
        <v>-334454.76500000001</v>
      </c>
      <c r="H212" s="38">
        <f t="shared" si="118"/>
        <v>-337809.43060000002</v>
      </c>
      <c r="I212" s="38">
        <f t="shared" si="118"/>
        <v>-533430.73129999998</v>
      </c>
      <c r="J212" s="38">
        <f t="shared" si="118"/>
        <v>-478852.95773199998</v>
      </c>
      <c r="K212" s="38">
        <f t="shared" si="118"/>
        <v>-418076.42488599994</v>
      </c>
      <c r="L212" s="38">
        <f t="shared" si="118"/>
        <v>-351103.86070104002</v>
      </c>
      <c r="M212" s="38">
        <f t="shared" si="118"/>
        <v>-350250.57247492002</v>
      </c>
      <c r="N212" s="38">
        <f t="shared" si="118"/>
        <v>-412050.53235422878</v>
      </c>
      <c r="O212" s="38">
        <f t="shared" si="118"/>
        <v>-536905.80894448247</v>
      </c>
      <c r="P212" s="38">
        <f t="shared" si="118"/>
        <v>-673126.47611793038</v>
      </c>
      <c r="Q212" s="38">
        <f t="shared" si="118"/>
        <v>-812769.74196778622</v>
      </c>
      <c r="R212" s="38">
        <f t="shared" si="118"/>
        <v>-1077888.4157459447</v>
      </c>
      <c r="S212" s="38">
        <f t="shared" si="118"/>
        <v>-1019558.461232913</v>
      </c>
      <c r="T212" s="38">
        <f t="shared" si="118"/>
        <v>-1226051.2014641077</v>
      </c>
      <c r="U212" s="38">
        <f t="shared" si="118"/>
        <v>-1359479.7354712407</v>
      </c>
      <c r="V212" s="38">
        <f t="shared" si="118"/>
        <v>-1105625.3943221038</v>
      </c>
      <c r="W212" s="38">
        <f t="shared" si="118"/>
        <v>-976200.99880367296</v>
      </c>
      <c r="X212" s="38">
        <f t="shared" si="118"/>
        <v>-777897.23675086279</v>
      </c>
      <c r="Y212" s="38">
        <f t="shared" si="118"/>
        <v>-773759.64273680816</v>
      </c>
      <c r="Z212" s="38">
        <f t="shared" si="118"/>
        <v>-828934.53408518981</v>
      </c>
      <c r="AA212" s="38">
        <f t="shared" si="118"/>
        <v>-1352007.5634020977</v>
      </c>
      <c r="AB212" s="38">
        <f t="shared" si="118"/>
        <v>-1481759.2154987417</v>
      </c>
      <c r="AC212" s="38">
        <f t="shared" si="118"/>
        <v>-1697699.0209484617</v>
      </c>
      <c r="AD212" s="38">
        <f t="shared" si="118"/>
        <v>-2031821.0364097231</v>
      </c>
      <c r="AE212" s="39"/>
      <c r="AF212" s="39"/>
      <c r="AG212" s="39"/>
      <c r="AH212" s="39"/>
      <c r="AI212" s="39"/>
      <c r="AJ212" s="39"/>
      <c r="AK212" s="39"/>
      <c r="AL212" s="39"/>
      <c r="AM212" s="39"/>
    </row>
    <row r="213" spans="1:39" ht="15.75" customHeight="1" x14ac:dyDescent="0.2">
      <c r="A213" s="18"/>
      <c r="B213" s="75" t="s">
        <v>49</v>
      </c>
      <c r="C213" s="76"/>
      <c r="D213" s="77">
        <f t="shared" ref="D213:AD213" si="119">D214+D220+D226+D232+D238+D244</f>
        <v>-31210.9</v>
      </c>
      <c r="E213" s="77">
        <f t="shared" si="119"/>
        <v>-67433.3</v>
      </c>
      <c r="F213" s="77">
        <f t="shared" si="119"/>
        <v>-106135.03</v>
      </c>
      <c r="G213" s="77">
        <f t="shared" si="119"/>
        <v>-176390.76500000001</v>
      </c>
      <c r="H213" s="77">
        <f t="shared" si="119"/>
        <v>-179745.43060000002</v>
      </c>
      <c r="I213" s="77">
        <f t="shared" si="119"/>
        <v>-284312.33130000002</v>
      </c>
      <c r="J213" s="77">
        <f t="shared" si="119"/>
        <v>-253779.357732</v>
      </c>
      <c r="K213" s="77">
        <f t="shared" si="119"/>
        <v>-226507.62488599998</v>
      </c>
      <c r="L213" s="77">
        <f t="shared" si="119"/>
        <v>-193039.86070104002</v>
      </c>
      <c r="M213" s="77">
        <f t="shared" si="119"/>
        <v>-192186.57247492002</v>
      </c>
      <c r="N213" s="77">
        <f t="shared" si="119"/>
        <v>-220481.73235422879</v>
      </c>
      <c r="O213" s="77">
        <f t="shared" si="119"/>
        <v>-287787.40894448245</v>
      </c>
      <c r="P213" s="77">
        <f t="shared" si="119"/>
        <v>-356998.47611793038</v>
      </c>
      <c r="Q213" s="77">
        <f t="shared" si="119"/>
        <v>-429632.14196778618</v>
      </c>
      <c r="R213" s="77">
        <f t="shared" si="119"/>
        <v>-570191.61574594467</v>
      </c>
      <c r="S213" s="77">
        <f t="shared" si="119"/>
        <v>-545366.46123291296</v>
      </c>
      <c r="T213" s="77">
        <f t="shared" si="119"/>
        <v>-660804.80146410782</v>
      </c>
      <c r="U213" s="77">
        <f t="shared" si="119"/>
        <v>-727223.73547124083</v>
      </c>
      <c r="V213" s="77">
        <f t="shared" si="119"/>
        <v>-597928.59432210377</v>
      </c>
      <c r="W213" s="77">
        <f t="shared" si="119"/>
        <v>-535513.79880367301</v>
      </c>
      <c r="X213" s="77">
        <f t="shared" si="119"/>
        <v>-428264.43675086281</v>
      </c>
      <c r="Y213" s="77">
        <f t="shared" si="119"/>
        <v>-424126.84273680806</v>
      </c>
      <c r="Z213" s="77">
        <f t="shared" si="119"/>
        <v>-445796.93408518983</v>
      </c>
      <c r="AA213" s="77">
        <f t="shared" si="119"/>
        <v>-719751.56340209779</v>
      </c>
      <c r="AB213" s="77">
        <f t="shared" si="119"/>
        <v>-782493.61549874186</v>
      </c>
      <c r="AC213" s="77">
        <f t="shared" si="119"/>
        <v>-907379.02094846161</v>
      </c>
      <c r="AD213" s="77">
        <f t="shared" si="119"/>
        <v>-1083437.0364097231</v>
      </c>
      <c r="AE213" s="10"/>
      <c r="AF213" s="10"/>
      <c r="AG213" s="10"/>
      <c r="AH213" s="10"/>
      <c r="AI213" s="10"/>
      <c r="AJ213" s="10"/>
      <c r="AK213" s="10"/>
      <c r="AL213" s="10"/>
      <c r="AM213" s="10"/>
    </row>
    <row r="214" spans="1:39" ht="15.75" customHeight="1" collapsed="1" x14ac:dyDescent="0.2">
      <c r="A214" s="18"/>
      <c r="B214" s="541" t="s">
        <v>432</v>
      </c>
      <c r="C214" s="79"/>
      <c r="D214" s="80">
        <f t="shared" ref="D214:AD214" si="120">SUM(D215:D219)</f>
        <v>-4312.5</v>
      </c>
      <c r="E214" s="80">
        <f t="shared" si="120"/>
        <v>-9343.75</v>
      </c>
      <c r="F214" s="80">
        <f t="shared" si="120"/>
        <v>-14375</v>
      </c>
      <c r="G214" s="80">
        <f t="shared" si="120"/>
        <v>-23718.75</v>
      </c>
      <c r="H214" s="80">
        <f t="shared" si="120"/>
        <v>-23718.75</v>
      </c>
      <c r="I214" s="80">
        <f t="shared" si="120"/>
        <v>-37375</v>
      </c>
      <c r="J214" s="80">
        <f t="shared" si="120"/>
        <v>-33062.5</v>
      </c>
      <c r="K214" s="80">
        <f t="shared" si="120"/>
        <v>-28031.25</v>
      </c>
      <c r="L214" s="80">
        <f t="shared" si="120"/>
        <v>-23718.75</v>
      </c>
      <c r="M214" s="80">
        <f t="shared" si="120"/>
        <v>-23718.75</v>
      </c>
      <c r="N214" s="80">
        <f t="shared" si="120"/>
        <v>-28031.25</v>
      </c>
      <c r="O214" s="80">
        <f t="shared" si="120"/>
        <v>-37375</v>
      </c>
      <c r="P214" s="80">
        <f t="shared" si="120"/>
        <v>-46718.75</v>
      </c>
      <c r="Q214" s="80">
        <f t="shared" si="120"/>
        <v>-56062.5</v>
      </c>
      <c r="R214" s="80">
        <f t="shared" si="120"/>
        <v>-74750</v>
      </c>
      <c r="S214" s="80">
        <f t="shared" si="120"/>
        <v>-70437.5</v>
      </c>
      <c r="T214" s="80">
        <f t="shared" si="120"/>
        <v>-84812.5</v>
      </c>
      <c r="U214" s="80">
        <f t="shared" si="120"/>
        <v>-94156.25</v>
      </c>
      <c r="V214" s="80">
        <f t="shared" si="120"/>
        <v>-74750</v>
      </c>
      <c r="W214" s="80">
        <f t="shared" si="120"/>
        <v>-65406.25</v>
      </c>
      <c r="X214" s="80">
        <f t="shared" si="120"/>
        <v>-51750</v>
      </c>
      <c r="Y214" s="80">
        <f t="shared" si="120"/>
        <v>-51750</v>
      </c>
      <c r="Z214" s="80">
        <f t="shared" si="120"/>
        <v>-56062.5</v>
      </c>
      <c r="AA214" s="80">
        <f t="shared" si="120"/>
        <v>-94156.25</v>
      </c>
      <c r="AB214" s="80">
        <f t="shared" si="120"/>
        <v>-102781.25</v>
      </c>
      <c r="AC214" s="80">
        <f t="shared" si="120"/>
        <v>-117156.25</v>
      </c>
      <c r="AD214" s="80">
        <f t="shared" si="120"/>
        <v>-140875</v>
      </c>
      <c r="AE214" s="10"/>
      <c r="AF214" s="10"/>
      <c r="AG214" s="10"/>
      <c r="AH214" s="10"/>
      <c r="AI214" s="10"/>
      <c r="AJ214" s="10"/>
      <c r="AK214" s="10"/>
      <c r="AL214" s="10"/>
      <c r="AM214" s="10"/>
    </row>
    <row r="215" spans="1:39" ht="30" hidden="1" customHeight="1" outlineLevel="1" x14ac:dyDescent="0.2">
      <c r="A215" s="16"/>
      <c r="B215" s="46" t="s">
        <v>50</v>
      </c>
      <c r="C215" s="55">
        <v>0.05</v>
      </c>
      <c r="D215" s="51">
        <f t="shared" ref="D215:AD215" si="121">-D17*$C215</f>
        <v>-637.5</v>
      </c>
      <c r="E215" s="51">
        <f t="shared" si="121"/>
        <v>-1381.25</v>
      </c>
      <c r="F215" s="51">
        <f t="shared" si="121"/>
        <v>-2125</v>
      </c>
      <c r="G215" s="51">
        <f t="shared" si="121"/>
        <v>-3506.25</v>
      </c>
      <c r="H215" s="51">
        <f t="shared" si="121"/>
        <v>-3506.25</v>
      </c>
      <c r="I215" s="51">
        <f t="shared" si="121"/>
        <v>-5525</v>
      </c>
      <c r="J215" s="51">
        <f t="shared" si="121"/>
        <v>-4887.5</v>
      </c>
      <c r="K215" s="51">
        <f t="shared" si="121"/>
        <v>-4143.75</v>
      </c>
      <c r="L215" s="51">
        <f t="shared" si="121"/>
        <v>-3506.25</v>
      </c>
      <c r="M215" s="51">
        <f t="shared" si="121"/>
        <v>-3506.25</v>
      </c>
      <c r="N215" s="51">
        <f t="shared" si="121"/>
        <v>-4143.75</v>
      </c>
      <c r="O215" s="51">
        <f t="shared" si="121"/>
        <v>-5525</v>
      </c>
      <c r="P215" s="51">
        <f t="shared" si="121"/>
        <v>-6906.25</v>
      </c>
      <c r="Q215" s="51">
        <f t="shared" si="121"/>
        <v>-8287.5</v>
      </c>
      <c r="R215" s="51">
        <f t="shared" si="121"/>
        <v>-11050</v>
      </c>
      <c r="S215" s="51">
        <f t="shared" si="121"/>
        <v>-10412.5</v>
      </c>
      <c r="T215" s="51">
        <f t="shared" si="121"/>
        <v>-12537.5</v>
      </c>
      <c r="U215" s="51">
        <f t="shared" si="121"/>
        <v>-13918.75</v>
      </c>
      <c r="V215" s="51">
        <f t="shared" si="121"/>
        <v>-11050</v>
      </c>
      <c r="W215" s="51">
        <f t="shared" si="121"/>
        <v>-9668.75</v>
      </c>
      <c r="X215" s="51">
        <f t="shared" si="121"/>
        <v>-7650</v>
      </c>
      <c r="Y215" s="51">
        <f t="shared" si="121"/>
        <v>-7650</v>
      </c>
      <c r="Z215" s="51">
        <f t="shared" si="121"/>
        <v>-8287.5</v>
      </c>
      <c r="AA215" s="51">
        <f t="shared" si="121"/>
        <v>-13918.75</v>
      </c>
      <c r="AB215" s="51">
        <f t="shared" si="121"/>
        <v>-15193.75</v>
      </c>
      <c r="AC215" s="51">
        <f t="shared" si="121"/>
        <v>-17318.75</v>
      </c>
      <c r="AD215" s="51">
        <f t="shared" si="121"/>
        <v>-20825</v>
      </c>
      <c r="AE215" s="10"/>
      <c r="AF215" s="10"/>
      <c r="AG215" s="10"/>
      <c r="AH215" s="10"/>
      <c r="AI215" s="10"/>
      <c r="AJ215" s="10"/>
      <c r="AK215" s="10"/>
      <c r="AL215" s="10"/>
      <c r="AM215" s="10"/>
    </row>
    <row r="216" spans="1:39" ht="15.75" hidden="1" customHeight="1" outlineLevel="1" x14ac:dyDescent="0.2">
      <c r="A216" s="48"/>
      <c r="B216" s="81" t="s">
        <v>51</v>
      </c>
      <c r="C216" s="50">
        <v>250</v>
      </c>
      <c r="D216" s="51">
        <f t="shared" ref="D216:AD216" si="122">-D25*$C216</f>
        <v>-1500</v>
      </c>
      <c r="E216" s="51">
        <f t="shared" si="122"/>
        <v>-3250</v>
      </c>
      <c r="F216" s="51">
        <f t="shared" si="122"/>
        <v>-5000</v>
      </c>
      <c r="G216" s="51">
        <f t="shared" si="122"/>
        <v>-8250</v>
      </c>
      <c r="H216" s="51">
        <f t="shared" si="122"/>
        <v>-8250</v>
      </c>
      <c r="I216" s="51">
        <f t="shared" si="122"/>
        <v>-13000</v>
      </c>
      <c r="J216" s="51">
        <f t="shared" si="122"/>
        <v>-11500</v>
      </c>
      <c r="K216" s="51">
        <f t="shared" si="122"/>
        <v>-9750</v>
      </c>
      <c r="L216" s="51">
        <f t="shared" si="122"/>
        <v>-8250</v>
      </c>
      <c r="M216" s="51">
        <f t="shared" si="122"/>
        <v>-8250</v>
      </c>
      <c r="N216" s="51">
        <f t="shared" si="122"/>
        <v>-9750</v>
      </c>
      <c r="O216" s="51">
        <f t="shared" si="122"/>
        <v>-13000</v>
      </c>
      <c r="P216" s="51">
        <f t="shared" si="122"/>
        <v>-16250</v>
      </c>
      <c r="Q216" s="51">
        <f t="shared" si="122"/>
        <v>-19500</v>
      </c>
      <c r="R216" s="51">
        <f t="shared" si="122"/>
        <v>-26000</v>
      </c>
      <c r="S216" s="51">
        <f t="shared" si="122"/>
        <v>-24500</v>
      </c>
      <c r="T216" s="51">
        <f t="shared" si="122"/>
        <v>-29500</v>
      </c>
      <c r="U216" s="51">
        <f t="shared" si="122"/>
        <v>-32750</v>
      </c>
      <c r="V216" s="51">
        <f t="shared" si="122"/>
        <v>-26000</v>
      </c>
      <c r="W216" s="51">
        <f t="shared" si="122"/>
        <v>-22750</v>
      </c>
      <c r="X216" s="51">
        <f t="shared" si="122"/>
        <v>-18000</v>
      </c>
      <c r="Y216" s="51">
        <f t="shared" si="122"/>
        <v>-18000</v>
      </c>
      <c r="Z216" s="51">
        <f t="shared" si="122"/>
        <v>-19500</v>
      </c>
      <c r="AA216" s="51">
        <f t="shared" si="122"/>
        <v>-32750</v>
      </c>
      <c r="AB216" s="51">
        <f t="shared" si="122"/>
        <v>-35750</v>
      </c>
      <c r="AC216" s="51">
        <f t="shared" si="122"/>
        <v>-40750</v>
      </c>
      <c r="AD216" s="51">
        <f t="shared" si="122"/>
        <v>-49000</v>
      </c>
      <c r="AE216" s="10"/>
      <c r="AF216" s="10"/>
      <c r="AG216" s="10"/>
      <c r="AH216" s="10"/>
      <c r="AI216" s="10"/>
      <c r="AJ216" s="10"/>
      <c r="AK216" s="10"/>
      <c r="AL216" s="10"/>
      <c r="AM216" s="10"/>
    </row>
    <row r="217" spans="1:39" ht="15.75" hidden="1" customHeight="1" outlineLevel="1" x14ac:dyDescent="0.2">
      <c r="A217" s="48"/>
      <c r="B217" s="46" t="s">
        <v>52</v>
      </c>
      <c r="C217" s="82">
        <v>90</v>
      </c>
      <c r="D217" s="51">
        <f t="shared" ref="D217:AD217" si="123">-D25*$C217</f>
        <v>-540</v>
      </c>
      <c r="E217" s="51">
        <f t="shared" si="123"/>
        <v>-1170</v>
      </c>
      <c r="F217" s="51">
        <f t="shared" si="123"/>
        <v>-1800</v>
      </c>
      <c r="G217" s="51">
        <f t="shared" si="123"/>
        <v>-2970</v>
      </c>
      <c r="H217" s="51">
        <f t="shared" si="123"/>
        <v>-2970</v>
      </c>
      <c r="I217" s="51">
        <f t="shared" si="123"/>
        <v>-4680</v>
      </c>
      <c r="J217" s="51">
        <f t="shared" si="123"/>
        <v>-4140</v>
      </c>
      <c r="K217" s="51">
        <f t="shared" si="123"/>
        <v>-3510</v>
      </c>
      <c r="L217" s="51">
        <f t="shared" si="123"/>
        <v>-2970</v>
      </c>
      <c r="M217" s="51">
        <f t="shared" si="123"/>
        <v>-2970</v>
      </c>
      <c r="N217" s="51">
        <f t="shared" si="123"/>
        <v>-3510</v>
      </c>
      <c r="O217" s="51">
        <f t="shared" si="123"/>
        <v>-4680</v>
      </c>
      <c r="P217" s="51">
        <f t="shared" si="123"/>
        <v>-5850</v>
      </c>
      <c r="Q217" s="51">
        <f t="shared" si="123"/>
        <v>-7020</v>
      </c>
      <c r="R217" s="51">
        <f t="shared" si="123"/>
        <v>-9360</v>
      </c>
      <c r="S217" s="51">
        <f t="shared" si="123"/>
        <v>-8820</v>
      </c>
      <c r="T217" s="51">
        <f t="shared" si="123"/>
        <v>-10620</v>
      </c>
      <c r="U217" s="51">
        <f t="shared" si="123"/>
        <v>-11790</v>
      </c>
      <c r="V217" s="51">
        <f t="shared" si="123"/>
        <v>-9360</v>
      </c>
      <c r="W217" s="51">
        <f t="shared" si="123"/>
        <v>-8190</v>
      </c>
      <c r="X217" s="51">
        <f t="shared" si="123"/>
        <v>-6480</v>
      </c>
      <c r="Y217" s="51">
        <f t="shared" si="123"/>
        <v>-6480</v>
      </c>
      <c r="Z217" s="51">
        <f t="shared" si="123"/>
        <v>-7020</v>
      </c>
      <c r="AA217" s="51">
        <f t="shared" si="123"/>
        <v>-11790</v>
      </c>
      <c r="AB217" s="51">
        <f t="shared" si="123"/>
        <v>-12870</v>
      </c>
      <c r="AC217" s="51">
        <f t="shared" si="123"/>
        <v>-14670</v>
      </c>
      <c r="AD217" s="51">
        <f t="shared" si="123"/>
        <v>-17640</v>
      </c>
      <c r="AE217" s="10"/>
      <c r="AF217" s="10"/>
      <c r="AG217" s="10"/>
      <c r="AH217" s="10"/>
      <c r="AI217" s="10"/>
      <c r="AJ217" s="10"/>
      <c r="AK217" s="10"/>
      <c r="AL217" s="10"/>
      <c r="AM217" s="10"/>
    </row>
    <row r="218" spans="1:39" ht="15.75" hidden="1" customHeight="1" outlineLevel="1" x14ac:dyDescent="0.2">
      <c r="A218" s="16"/>
      <c r="B218" s="83" t="s">
        <v>53</v>
      </c>
      <c r="C218" s="55">
        <v>0.1</v>
      </c>
      <c r="D218" s="51">
        <f t="shared" ref="D218:AD218" si="124">-D17*$C218</f>
        <v>-1275</v>
      </c>
      <c r="E218" s="51">
        <f t="shared" si="124"/>
        <v>-2762.5</v>
      </c>
      <c r="F218" s="51">
        <f t="shared" si="124"/>
        <v>-4250</v>
      </c>
      <c r="G218" s="51">
        <f t="shared" si="124"/>
        <v>-7012.5</v>
      </c>
      <c r="H218" s="51">
        <f t="shared" si="124"/>
        <v>-7012.5</v>
      </c>
      <c r="I218" s="51">
        <f t="shared" si="124"/>
        <v>-11050</v>
      </c>
      <c r="J218" s="51">
        <f t="shared" si="124"/>
        <v>-9775</v>
      </c>
      <c r="K218" s="51">
        <f t="shared" si="124"/>
        <v>-8287.5</v>
      </c>
      <c r="L218" s="51">
        <f t="shared" si="124"/>
        <v>-7012.5</v>
      </c>
      <c r="M218" s="51">
        <f t="shared" si="124"/>
        <v>-7012.5</v>
      </c>
      <c r="N218" s="51">
        <f t="shared" si="124"/>
        <v>-8287.5</v>
      </c>
      <c r="O218" s="51">
        <f t="shared" si="124"/>
        <v>-11050</v>
      </c>
      <c r="P218" s="51">
        <f t="shared" si="124"/>
        <v>-13812.5</v>
      </c>
      <c r="Q218" s="51">
        <f t="shared" si="124"/>
        <v>-16575</v>
      </c>
      <c r="R218" s="51">
        <f t="shared" si="124"/>
        <v>-22100</v>
      </c>
      <c r="S218" s="51">
        <f t="shared" si="124"/>
        <v>-20825</v>
      </c>
      <c r="T218" s="51">
        <f t="shared" si="124"/>
        <v>-25075</v>
      </c>
      <c r="U218" s="51">
        <f t="shared" si="124"/>
        <v>-27837.5</v>
      </c>
      <c r="V218" s="51">
        <f t="shared" si="124"/>
        <v>-22100</v>
      </c>
      <c r="W218" s="51">
        <f t="shared" si="124"/>
        <v>-19337.5</v>
      </c>
      <c r="X218" s="51">
        <f t="shared" si="124"/>
        <v>-15300</v>
      </c>
      <c r="Y218" s="51">
        <f t="shared" si="124"/>
        <v>-15300</v>
      </c>
      <c r="Z218" s="51">
        <f t="shared" si="124"/>
        <v>-16575</v>
      </c>
      <c r="AA218" s="51">
        <f t="shared" si="124"/>
        <v>-27837.5</v>
      </c>
      <c r="AB218" s="51">
        <f t="shared" si="124"/>
        <v>-30387.5</v>
      </c>
      <c r="AC218" s="51">
        <f t="shared" si="124"/>
        <v>-34637.5</v>
      </c>
      <c r="AD218" s="51">
        <f t="shared" si="124"/>
        <v>-41650</v>
      </c>
      <c r="AE218" s="10"/>
      <c r="AF218" s="10"/>
      <c r="AG218" s="10"/>
      <c r="AH218" s="10"/>
      <c r="AI218" s="10"/>
      <c r="AJ218" s="10"/>
      <c r="AK218" s="10"/>
      <c r="AL218" s="10"/>
      <c r="AM218" s="10"/>
    </row>
    <row r="219" spans="1:39" ht="15.75" hidden="1" customHeight="1" outlineLevel="1" x14ac:dyDescent="0.2">
      <c r="A219" s="48"/>
      <c r="B219" s="46" t="s">
        <v>54</v>
      </c>
      <c r="C219" s="50">
        <v>60</v>
      </c>
      <c r="D219" s="51">
        <f t="shared" ref="D219:AD219" si="125">-D25*$C219</f>
        <v>-360</v>
      </c>
      <c r="E219" s="51">
        <f t="shared" si="125"/>
        <v>-780</v>
      </c>
      <c r="F219" s="51">
        <f t="shared" si="125"/>
        <v>-1200</v>
      </c>
      <c r="G219" s="51">
        <f t="shared" si="125"/>
        <v>-1980</v>
      </c>
      <c r="H219" s="51">
        <f t="shared" si="125"/>
        <v>-1980</v>
      </c>
      <c r="I219" s="51">
        <f t="shared" si="125"/>
        <v>-3120</v>
      </c>
      <c r="J219" s="51">
        <f t="shared" si="125"/>
        <v>-2760</v>
      </c>
      <c r="K219" s="51">
        <f t="shared" si="125"/>
        <v>-2340</v>
      </c>
      <c r="L219" s="51">
        <f t="shared" si="125"/>
        <v>-1980</v>
      </c>
      <c r="M219" s="51">
        <f t="shared" si="125"/>
        <v>-1980</v>
      </c>
      <c r="N219" s="51">
        <f t="shared" si="125"/>
        <v>-2340</v>
      </c>
      <c r="O219" s="51">
        <f t="shared" si="125"/>
        <v>-3120</v>
      </c>
      <c r="P219" s="51">
        <f t="shared" si="125"/>
        <v>-3900</v>
      </c>
      <c r="Q219" s="51">
        <f t="shared" si="125"/>
        <v>-4680</v>
      </c>
      <c r="R219" s="51">
        <f t="shared" si="125"/>
        <v>-6240</v>
      </c>
      <c r="S219" s="51">
        <f t="shared" si="125"/>
        <v>-5880</v>
      </c>
      <c r="T219" s="51">
        <f t="shared" si="125"/>
        <v>-7080</v>
      </c>
      <c r="U219" s="51">
        <f t="shared" si="125"/>
        <v>-7860</v>
      </c>
      <c r="V219" s="51">
        <f t="shared" si="125"/>
        <v>-6240</v>
      </c>
      <c r="W219" s="51">
        <f t="shared" si="125"/>
        <v>-5460</v>
      </c>
      <c r="X219" s="51">
        <f t="shared" si="125"/>
        <v>-4320</v>
      </c>
      <c r="Y219" s="51">
        <f t="shared" si="125"/>
        <v>-4320</v>
      </c>
      <c r="Z219" s="51">
        <f t="shared" si="125"/>
        <v>-4680</v>
      </c>
      <c r="AA219" s="51">
        <f t="shared" si="125"/>
        <v>-7860</v>
      </c>
      <c r="AB219" s="51">
        <f t="shared" si="125"/>
        <v>-8580</v>
      </c>
      <c r="AC219" s="51">
        <f t="shared" si="125"/>
        <v>-9780</v>
      </c>
      <c r="AD219" s="51">
        <f t="shared" si="125"/>
        <v>-11760</v>
      </c>
      <c r="AE219" s="10"/>
      <c r="AF219" s="10"/>
      <c r="AG219" s="10"/>
      <c r="AH219" s="10"/>
      <c r="AI219" s="10"/>
      <c r="AJ219" s="10"/>
      <c r="AK219" s="10"/>
      <c r="AL219" s="10"/>
      <c r="AM219" s="10"/>
    </row>
    <row r="220" spans="1:39" ht="16.5" customHeight="1" collapsed="1" x14ac:dyDescent="0.2">
      <c r="A220" s="48"/>
      <c r="B220" s="541" t="s">
        <v>433</v>
      </c>
      <c r="C220" s="79"/>
      <c r="D220" s="80">
        <f t="shared" ref="D220:AD220" si="126">SUM(D221:D225)</f>
        <v>-3819.4</v>
      </c>
      <c r="E220" s="80">
        <f t="shared" si="126"/>
        <v>-8085.05</v>
      </c>
      <c r="F220" s="80">
        <f t="shared" si="126"/>
        <v>-12551.05</v>
      </c>
      <c r="G220" s="80">
        <f t="shared" si="126"/>
        <v>-20799.724999999999</v>
      </c>
      <c r="H220" s="80">
        <f t="shared" si="126"/>
        <v>-20994.205000000002</v>
      </c>
      <c r="I220" s="80">
        <f t="shared" si="126"/>
        <v>-33298.627500000002</v>
      </c>
      <c r="J220" s="80">
        <f t="shared" si="126"/>
        <v>-29461.913100000002</v>
      </c>
      <c r="K220" s="80">
        <f t="shared" si="126"/>
        <v>-25715.160049999999</v>
      </c>
      <c r="L220" s="80">
        <f t="shared" si="126"/>
        <v>-21764.922881999999</v>
      </c>
      <c r="M220" s="80">
        <f t="shared" si="126"/>
        <v>-21715.455211</v>
      </c>
      <c r="N220" s="80">
        <f t="shared" si="126"/>
        <v>-25365.82103404</v>
      </c>
      <c r="O220" s="80">
        <f t="shared" si="126"/>
        <v>-33500.088146420007</v>
      </c>
      <c r="P220" s="80">
        <f t="shared" si="126"/>
        <v>-41688.200627488797</v>
      </c>
      <c r="Q220" s="80">
        <f t="shared" si="126"/>
        <v>-50074.731392212401</v>
      </c>
      <c r="R220" s="80">
        <f t="shared" si="126"/>
        <v>-66631.48013804754</v>
      </c>
      <c r="S220" s="80">
        <f t="shared" si="126"/>
        <v>-63182.280906286731</v>
      </c>
      <c r="T220" s="80">
        <f t="shared" si="126"/>
        <v>-76272.67163037046</v>
      </c>
      <c r="U220" s="80">
        <f t="shared" si="126"/>
        <v>-84298.915799383074</v>
      </c>
      <c r="V220" s="80">
        <f t="shared" si="126"/>
        <v>-68239.475758681496</v>
      </c>
      <c r="W220" s="80">
        <f t="shared" si="126"/>
        <v>-60445.36347586428</v>
      </c>
      <c r="X220" s="80">
        <f t="shared" si="126"/>
        <v>-47985.430666909931</v>
      </c>
      <c r="Y220" s="80">
        <f t="shared" si="126"/>
        <v>-47745.56196469014</v>
      </c>
      <c r="Z220" s="80">
        <f t="shared" si="126"/>
        <v>-51011.852746720186</v>
      </c>
      <c r="AA220" s="80">
        <f t="shared" si="126"/>
        <v>-83865.731632231822</v>
      </c>
      <c r="AB220" s="80">
        <f t="shared" si="126"/>
        <v>-91523.097604278431</v>
      </c>
      <c r="AC220" s="80">
        <f t="shared" si="126"/>
        <v>-105161.162959091</v>
      </c>
      <c r="AD220" s="80">
        <f t="shared" si="126"/>
        <v>-125941.59747294127</v>
      </c>
      <c r="AE220" s="10"/>
      <c r="AF220" s="10"/>
      <c r="AG220" s="10"/>
      <c r="AH220" s="10"/>
      <c r="AI220" s="10"/>
      <c r="AJ220" s="10"/>
      <c r="AK220" s="10"/>
      <c r="AL220" s="10"/>
      <c r="AM220" s="10"/>
    </row>
    <row r="221" spans="1:39" ht="36.75" hidden="1" customHeight="1" outlineLevel="1" x14ac:dyDescent="0.2">
      <c r="A221" s="48"/>
      <c r="B221" s="46" t="s">
        <v>50</v>
      </c>
      <c r="C221" s="55">
        <v>0.05</v>
      </c>
      <c r="D221" s="51">
        <f t="shared" ref="D221:AD221" si="127">-D29*$C221</f>
        <v>-637.5</v>
      </c>
      <c r="E221" s="51">
        <f t="shared" si="127"/>
        <v>-1381.25</v>
      </c>
      <c r="F221" s="51">
        <f t="shared" si="127"/>
        <v>-2265.25</v>
      </c>
      <c r="G221" s="51">
        <f t="shared" si="127"/>
        <v>-3810.125</v>
      </c>
      <c r="H221" s="51">
        <f t="shared" si="127"/>
        <v>-4004.6049999999996</v>
      </c>
      <c r="I221" s="51">
        <f t="shared" si="127"/>
        <v>-6363.2275000000009</v>
      </c>
      <c r="J221" s="51">
        <f t="shared" si="127"/>
        <v>-5768.5131000000001</v>
      </c>
      <c r="K221" s="51">
        <f t="shared" si="127"/>
        <v>-5543.6600500000004</v>
      </c>
      <c r="L221" s="51">
        <f t="shared" si="127"/>
        <v>-4775.3228820000004</v>
      </c>
      <c r="M221" s="51">
        <f t="shared" si="127"/>
        <v>-4725.855211000001</v>
      </c>
      <c r="N221" s="51">
        <f t="shared" si="127"/>
        <v>-5194.3210340400001</v>
      </c>
      <c r="O221" s="51">
        <f t="shared" si="127"/>
        <v>-6564.6881464200014</v>
      </c>
      <c r="P221" s="51">
        <f t="shared" si="127"/>
        <v>-8049.0006274888001</v>
      </c>
      <c r="Q221" s="51">
        <f t="shared" si="127"/>
        <v>-9731.7313922123994</v>
      </c>
      <c r="R221" s="51">
        <f t="shared" si="127"/>
        <v>-12820.780138047538</v>
      </c>
      <c r="S221" s="51">
        <f t="shared" si="127"/>
        <v>-12553.480906286728</v>
      </c>
      <c r="T221" s="51">
        <f t="shared" si="127"/>
        <v>-15358.071630370458</v>
      </c>
      <c r="U221" s="51">
        <f t="shared" si="127"/>
        <v>-16680.51579938308</v>
      </c>
      <c r="V221" s="51">
        <f t="shared" si="127"/>
        <v>-14428.775758681502</v>
      </c>
      <c r="W221" s="51">
        <f t="shared" si="127"/>
        <v>-13338.463475864279</v>
      </c>
      <c r="X221" s="51">
        <f t="shared" si="127"/>
        <v>-10824.330666909931</v>
      </c>
      <c r="Y221" s="51">
        <f t="shared" si="127"/>
        <v>-10584.461964690143</v>
      </c>
      <c r="Z221" s="51">
        <f t="shared" si="127"/>
        <v>-10668.852746720186</v>
      </c>
      <c r="AA221" s="51">
        <f t="shared" si="127"/>
        <v>-16247.331632231831</v>
      </c>
      <c r="AB221" s="51">
        <f t="shared" si="127"/>
        <v>-17540.897604278442</v>
      </c>
      <c r="AC221" s="51">
        <f t="shared" si="127"/>
        <v>-20893.162959091005</v>
      </c>
      <c r="AD221" s="51">
        <f t="shared" si="127"/>
        <v>-24683.997472941257</v>
      </c>
      <c r="AE221" s="10"/>
      <c r="AF221" s="10"/>
      <c r="AG221" s="10"/>
      <c r="AH221" s="10"/>
      <c r="AI221" s="10"/>
      <c r="AJ221" s="10"/>
      <c r="AK221" s="10"/>
      <c r="AL221" s="10"/>
      <c r="AM221" s="10"/>
    </row>
    <row r="222" spans="1:39" ht="16.5" hidden="1" customHeight="1" outlineLevel="1" x14ac:dyDescent="0.2">
      <c r="A222" s="48"/>
      <c r="B222" s="81" t="s">
        <v>51</v>
      </c>
      <c r="C222" s="50">
        <v>250</v>
      </c>
      <c r="D222" s="51">
        <f t="shared" ref="D222:AD222" si="128">-D37*$C222</f>
        <v>-1500</v>
      </c>
      <c r="E222" s="51">
        <f t="shared" si="128"/>
        <v>-3250</v>
      </c>
      <c r="F222" s="51">
        <f t="shared" si="128"/>
        <v>-5000</v>
      </c>
      <c r="G222" s="51">
        <f t="shared" si="128"/>
        <v>-8250</v>
      </c>
      <c r="H222" s="51">
        <f t="shared" si="128"/>
        <v>-8250</v>
      </c>
      <c r="I222" s="51">
        <f t="shared" si="128"/>
        <v>-13000</v>
      </c>
      <c r="J222" s="51">
        <f t="shared" si="128"/>
        <v>-11500</v>
      </c>
      <c r="K222" s="51">
        <f t="shared" si="128"/>
        <v>-9750</v>
      </c>
      <c r="L222" s="51">
        <f t="shared" si="128"/>
        <v>-8250</v>
      </c>
      <c r="M222" s="51">
        <f t="shared" si="128"/>
        <v>-8250</v>
      </c>
      <c r="N222" s="51">
        <f t="shared" si="128"/>
        <v>-9750</v>
      </c>
      <c r="O222" s="51">
        <f t="shared" si="128"/>
        <v>-13000</v>
      </c>
      <c r="P222" s="51">
        <f t="shared" si="128"/>
        <v>-16250</v>
      </c>
      <c r="Q222" s="51">
        <f t="shared" si="128"/>
        <v>-19500</v>
      </c>
      <c r="R222" s="51">
        <f t="shared" si="128"/>
        <v>-26000</v>
      </c>
      <c r="S222" s="51">
        <f t="shared" si="128"/>
        <v>-24500</v>
      </c>
      <c r="T222" s="51">
        <f t="shared" si="128"/>
        <v>-29500</v>
      </c>
      <c r="U222" s="51">
        <f t="shared" si="128"/>
        <v>-32750</v>
      </c>
      <c r="V222" s="51">
        <f t="shared" si="128"/>
        <v>-26000</v>
      </c>
      <c r="W222" s="51">
        <f t="shared" si="128"/>
        <v>-22750</v>
      </c>
      <c r="X222" s="51">
        <f t="shared" si="128"/>
        <v>-18000</v>
      </c>
      <c r="Y222" s="51">
        <f t="shared" si="128"/>
        <v>-18000</v>
      </c>
      <c r="Z222" s="51">
        <f t="shared" si="128"/>
        <v>-19500</v>
      </c>
      <c r="AA222" s="51">
        <f t="shared" si="128"/>
        <v>-32750</v>
      </c>
      <c r="AB222" s="51">
        <f t="shared" si="128"/>
        <v>-35750</v>
      </c>
      <c r="AC222" s="51">
        <f t="shared" si="128"/>
        <v>-40750</v>
      </c>
      <c r="AD222" s="51">
        <f t="shared" si="128"/>
        <v>-49000</v>
      </c>
      <c r="AE222" s="10"/>
      <c r="AF222" s="10"/>
      <c r="AG222" s="10"/>
      <c r="AH222" s="10"/>
      <c r="AI222" s="10"/>
      <c r="AJ222" s="10"/>
      <c r="AK222" s="10"/>
      <c r="AL222" s="10"/>
      <c r="AM222" s="10"/>
    </row>
    <row r="223" spans="1:39" ht="16.5" hidden="1" customHeight="1" outlineLevel="1" x14ac:dyDescent="0.2">
      <c r="A223" s="48"/>
      <c r="B223" s="46" t="s">
        <v>52</v>
      </c>
      <c r="C223" s="82">
        <v>90</v>
      </c>
      <c r="D223" s="51">
        <f t="shared" ref="D223:AD223" si="129">-D37*$C223</f>
        <v>-540</v>
      </c>
      <c r="E223" s="51">
        <f t="shared" si="129"/>
        <v>-1170</v>
      </c>
      <c r="F223" s="51">
        <f t="shared" si="129"/>
        <v>-1800</v>
      </c>
      <c r="G223" s="51">
        <f t="shared" si="129"/>
        <v>-2970</v>
      </c>
      <c r="H223" s="51">
        <f t="shared" si="129"/>
        <v>-2970</v>
      </c>
      <c r="I223" s="51">
        <f t="shared" si="129"/>
        <v>-4680</v>
      </c>
      <c r="J223" s="51">
        <f t="shared" si="129"/>
        <v>-4140</v>
      </c>
      <c r="K223" s="51">
        <f t="shared" si="129"/>
        <v>-3510</v>
      </c>
      <c r="L223" s="51">
        <f t="shared" si="129"/>
        <v>-2970</v>
      </c>
      <c r="M223" s="51">
        <f t="shared" si="129"/>
        <v>-2970</v>
      </c>
      <c r="N223" s="51">
        <f t="shared" si="129"/>
        <v>-3510</v>
      </c>
      <c r="O223" s="51">
        <f t="shared" si="129"/>
        <v>-4680</v>
      </c>
      <c r="P223" s="51">
        <f t="shared" si="129"/>
        <v>-5850</v>
      </c>
      <c r="Q223" s="51">
        <f t="shared" si="129"/>
        <v>-7020</v>
      </c>
      <c r="R223" s="51">
        <f t="shared" si="129"/>
        <v>-9360</v>
      </c>
      <c r="S223" s="51">
        <f t="shared" si="129"/>
        <v>-8820</v>
      </c>
      <c r="T223" s="51">
        <f t="shared" si="129"/>
        <v>-10620</v>
      </c>
      <c r="U223" s="51">
        <f t="shared" si="129"/>
        <v>-11790</v>
      </c>
      <c r="V223" s="51">
        <f t="shared" si="129"/>
        <v>-9360</v>
      </c>
      <c r="W223" s="51">
        <f t="shared" si="129"/>
        <v>-8190</v>
      </c>
      <c r="X223" s="51">
        <f t="shared" si="129"/>
        <v>-6480</v>
      </c>
      <c r="Y223" s="51">
        <f t="shared" si="129"/>
        <v>-6480</v>
      </c>
      <c r="Z223" s="51">
        <f t="shared" si="129"/>
        <v>-7020</v>
      </c>
      <c r="AA223" s="51">
        <f t="shared" si="129"/>
        <v>-11790</v>
      </c>
      <c r="AB223" s="51">
        <f t="shared" si="129"/>
        <v>-12870</v>
      </c>
      <c r="AC223" s="51">
        <f t="shared" si="129"/>
        <v>-14670</v>
      </c>
      <c r="AD223" s="51">
        <f t="shared" si="129"/>
        <v>-17640</v>
      </c>
      <c r="AE223" s="10"/>
      <c r="AF223" s="10"/>
      <c r="AG223" s="10"/>
      <c r="AH223" s="10"/>
      <c r="AI223" s="10"/>
      <c r="AJ223" s="10"/>
      <c r="AK223" s="10"/>
      <c r="AL223" s="10"/>
      <c r="AM223" s="10"/>
    </row>
    <row r="224" spans="1:39" ht="16.5" hidden="1" customHeight="1" outlineLevel="1" x14ac:dyDescent="0.2">
      <c r="A224" s="48"/>
      <c r="B224" s="83" t="s">
        <v>53</v>
      </c>
      <c r="C224" s="55">
        <v>0.1</v>
      </c>
      <c r="D224" s="51">
        <f t="shared" ref="D224:AD224" si="130">-D23*$C224</f>
        <v>-1.9000000000000001</v>
      </c>
      <c r="E224" s="51">
        <f t="shared" si="130"/>
        <v>-3.8000000000000003</v>
      </c>
      <c r="F224" s="51">
        <f t="shared" si="130"/>
        <v>-5.8000000000000007</v>
      </c>
      <c r="G224" s="51">
        <f t="shared" si="130"/>
        <v>-9.6000000000000014</v>
      </c>
      <c r="H224" s="51">
        <f t="shared" si="130"/>
        <v>-9.6000000000000014</v>
      </c>
      <c r="I224" s="51">
        <f t="shared" si="130"/>
        <v>-15.4</v>
      </c>
      <c r="J224" s="51">
        <f t="shared" si="130"/>
        <v>-13.4</v>
      </c>
      <c r="K224" s="51">
        <f t="shared" si="130"/>
        <v>-11.5</v>
      </c>
      <c r="L224" s="51">
        <f t="shared" si="130"/>
        <v>-9.6000000000000014</v>
      </c>
      <c r="M224" s="51">
        <f t="shared" si="130"/>
        <v>-9.6000000000000014</v>
      </c>
      <c r="N224" s="51">
        <f t="shared" si="130"/>
        <v>-11.5</v>
      </c>
      <c r="O224" s="51">
        <f t="shared" si="130"/>
        <v>-15.4</v>
      </c>
      <c r="P224" s="51">
        <f t="shared" si="130"/>
        <v>-19.200000000000003</v>
      </c>
      <c r="Q224" s="51">
        <f t="shared" si="130"/>
        <v>-23</v>
      </c>
      <c r="R224" s="51">
        <f t="shared" si="130"/>
        <v>-30.700000000000003</v>
      </c>
      <c r="S224" s="51">
        <f t="shared" si="130"/>
        <v>-28.8</v>
      </c>
      <c r="T224" s="51">
        <f t="shared" si="130"/>
        <v>-34.6</v>
      </c>
      <c r="U224" s="51">
        <f t="shared" si="130"/>
        <v>-38.400000000000006</v>
      </c>
      <c r="V224" s="51">
        <f t="shared" si="130"/>
        <v>-30.700000000000003</v>
      </c>
      <c r="W224" s="51">
        <f t="shared" si="130"/>
        <v>-26.900000000000002</v>
      </c>
      <c r="X224" s="51">
        <f t="shared" si="130"/>
        <v>-21.1</v>
      </c>
      <c r="Y224" s="51">
        <f t="shared" si="130"/>
        <v>-21.1</v>
      </c>
      <c r="Z224" s="51">
        <f t="shared" si="130"/>
        <v>-23</v>
      </c>
      <c r="AA224" s="51">
        <f t="shared" si="130"/>
        <v>-38.400000000000006</v>
      </c>
      <c r="AB224" s="51">
        <f t="shared" si="130"/>
        <v>-42.2</v>
      </c>
      <c r="AC224" s="51">
        <f t="shared" si="130"/>
        <v>-48</v>
      </c>
      <c r="AD224" s="51">
        <f t="shared" si="130"/>
        <v>-57.6</v>
      </c>
      <c r="AE224" s="10"/>
      <c r="AF224" s="10"/>
      <c r="AG224" s="10"/>
      <c r="AH224" s="10"/>
      <c r="AI224" s="10"/>
      <c r="AJ224" s="10"/>
      <c r="AK224" s="10"/>
      <c r="AL224" s="10"/>
      <c r="AM224" s="10"/>
    </row>
    <row r="225" spans="1:39" ht="16.5" hidden="1" customHeight="1" outlineLevel="1" x14ac:dyDescent="0.2">
      <c r="A225" s="48"/>
      <c r="B225" s="46" t="s">
        <v>54</v>
      </c>
      <c r="C225" s="50">
        <v>60</v>
      </c>
      <c r="D225" s="51">
        <f t="shared" ref="D225:AD225" si="131">-D23*$C225</f>
        <v>-1140</v>
      </c>
      <c r="E225" s="51">
        <f t="shared" si="131"/>
        <v>-2280</v>
      </c>
      <c r="F225" s="51">
        <f t="shared" si="131"/>
        <v>-3480</v>
      </c>
      <c r="G225" s="51">
        <f t="shared" si="131"/>
        <v>-5760</v>
      </c>
      <c r="H225" s="51">
        <f t="shared" si="131"/>
        <v>-5760</v>
      </c>
      <c r="I225" s="51">
        <f t="shared" si="131"/>
        <v>-9240</v>
      </c>
      <c r="J225" s="51">
        <f t="shared" si="131"/>
        <v>-8040</v>
      </c>
      <c r="K225" s="51">
        <f t="shared" si="131"/>
        <v>-6900</v>
      </c>
      <c r="L225" s="51">
        <f t="shared" si="131"/>
        <v>-5760</v>
      </c>
      <c r="M225" s="51">
        <f t="shared" si="131"/>
        <v>-5760</v>
      </c>
      <c r="N225" s="51">
        <f t="shared" si="131"/>
        <v>-6900</v>
      </c>
      <c r="O225" s="51">
        <f t="shared" si="131"/>
        <v>-9240</v>
      </c>
      <c r="P225" s="51">
        <f t="shared" si="131"/>
        <v>-11520</v>
      </c>
      <c r="Q225" s="51">
        <f t="shared" si="131"/>
        <v>-13800</v>
      </c>
      <c r="R225" s="51">
        <f t="shared" si="131"/>
        <v>-18420</v>
      </c>
      <c r="S225" s="51">
        <f t="shared" si="131"/>
        <v>-17280</v>
      </c>
      <c r="T225" s="51">
        <f t="shared" si="131"/>
        <v>-20760</v>
      </c>
      <c r="U225" s="51">
        <f t="shared" si="131"/>
        <v>-23040</v>
      </c>
      <c r="V225" s="51">
        <f t="shared" si="131"/>
        <v>-18420</v>
      </c>
      <c r="W225" s="51">
        <f t="shared" si="131"/>
        <v>-16140</v>
      </c>
      <c r="X225" s="51">
        <f t="shared" si="131"/>
        <v>-12660</v>
      </c>
      <c r="Y225" s="51">
        <f t="shared" si="131"/>
        <v>-12660</v>
      </c>
      <c r="Z225" s="51">
        <f t="shared" si="131"/>
        <v>-13800</v>
      </c>
      <c r="AA225" s="51">
        <f t="shared" si="131"/>
        <v>-23040</v>
      </c>
      <c r="AB225" s="51">
        <f t="shared" si="131"/>
        <v>-25320</v>
      </c>
      <c r="AC225" s="51">
        <f t="shared" si="131"/>
        <v>-28800</v>
      </c>
      <c r="AD225" s="51">
        <f t="shared" si="131"/>
        <v>-34560</v>
      </c>
      <c r="AE225" s="10"/>
      <c r="AF225" s="10"/>
      <c r="AG225" s="10"/>
      <c r="AH225" s="10"/>
      <c r="AI225" s="10"/>
      <c r="AJ225" s="10"/>
      <c r="AK225" s="10"/>
      <c r="AL225" s="10"/>
      <c r="AM225" s="10"/>
    </row>
    <row r="226" spans="1:39" ht="16.5" customHeight="1" collapsed="1" x14ac:dyDescent="0.2">
      <c r="A226" s="48"/>
      <c r="B226" s="541" t="s">
        <v>434</v>
      </c>
      <c r="C226" s="79"/>
      <c r="D226" s="80">
        <f t="shared" ref="D226:AD226" si="132">SUM(D227:D231)</f>
        <v>-5131.5</v>
      </c>
      <c r="E226" s="80">
        <f t="shared" si="132"/>
        <v>-11118.25</v>
      </c>
      <c r="F226" s="80">
        <f t="shared" si="132"/>
        <v>-17626.73</v>
      </c>
      <c r="G226" s="80">
        <f t="shared" si="132"/>
        <v>-29353.665000000001</v>
      </c>
      <c r="H226" s="80">
        <f t="shared" si="132"/>
        <v>-30077.130600000004</v>
      </c>
      <c r="I226" s="80">
        <f t="shared" si="132"/>
        <v>-47591.206300000005</v>
      </c>
      <c r="J226" s="80">
        <f t="shared" si="132"/>
        <v>-42618.868732000003</v>
      </c>
      <c r="K226" s="80">
        <f t="shared" si="132"/>
        <v>-38562.415386000001</v>
      </c>
      <c r="L226" s="80">
        <f t="shared" si="132"/>
        <v>-32944.201121040001</v>
      </c>
      <c r="M226" s="80">
        <f t="shared" si="132"/>
        <v>-32760.181384920004</v>
      </c>
      <c r="N226" s="80">
        <f t="shared" si="132"/>
        <v>-37262.874246628802</v>
      </c>
      <c r="O226" s="80">
        <f t="shared" si="132"/>
        <v>-48340.639904682408</v>
      </c>
      <c r="P226" s="80">
        <f t="shared" si="132"/>
        <v>-59842.282334258343</v>
      </c>
      <c r="Q226" s="80">
        <f t="shared" si="132"/>
        <v>-72082.04077903014</v>
      </c>
      <c r="R226" s="80">
        <f t="shared" si="132"/>
        <v>-95533.302113536833</v>
      </c>
      <c r="S226" s="80">
        <f t="shared" si="132"/>
        <v>-91778.948971386635</v>
      </c>
      <c r="T226" s="80">
        <f t="shared" si="132"/>
        <v>-111412.02646497812</v>
      </c>
      <c r="U226" s="80">
        <f t="shared" si="132"/>
        <v>-122311.51877370506</v>
      </c>
      <c r="V226" s="80">
        <f t="shared" si="132"/>
        <v>-101515.04582229519</v>
      </c>
      <c r="W226" s="80">
        <f t="shared" si="132"/>
        <v>-91479.084130215109</v>
      </c>
      <c r="X226" s="80">
        <f t="shared" si="132"/>
        <v>-73386.510080904933</v>
      </c>
      <c r="Y226" s="80">
        <f t="shared" si="132"/>
        <v>-72494.198508647329</v>
      </c>
      <c r="Z226" s="80">
        <f t="shared" si="132"/>
        <v>-75568.132217799095</v>
      </c>
      <c r="AA226" s="80">
        <f t="shared" si="132"/>
        <v>-120700.07367190241</v>
      </c>
      <c r="AB226" s="80">
        <f t="shared" si="132"/>
        <v>-131032.13908791581</v>
      </c>
      <c r="AC226" s="80">
        <f t="shared" si="132"/>
        <v>-152702.56620781854</v>
      </c>
      <c r="AD226" s="80">
        <f t="shared" si="132"/>
        <v>-181984.47059934147</v>
      </c>
      <c r="AE226" s="10"/>
      <c r="AF226" s="10"/>
      <c r="AG226" s="10"/>
      <c r="AH226" s="10"/>
      <c r="AI226" s="10"/>
      <c r="AJ226" s="10"/>
      <c r="AK226" s="10"/>
      <c r="AL226" s="10"/>
      <c r="AM226" s="10"/>
    </row>
    <row r="227" spans="1:39" ht="34.5" hidden="1" customHeight="1" outlineLevel="1" x14ac:dyDescent="0.2">
      <c r="A227" s="48"/>
      <c r="B227" s="46" t="s">
        <v>50</v>
      </c>
      <c r="C227" s="55">
        <v>0.05</v>
      </c>
      <c r="D227" s="51">
        <f t="shared" ref="D227:AD227" si="133">-D41*$C227</f>
        <v>-790.5</v>
      </c>
      <c r="E227" s="51">
        <f t="shared" si="133"/>
        <v>-1712.75</v>
      </c>
      <c r="F227" s="51">
        <f t="shared" si="133"/>
        <v>-2808.9100000000003</v>
      </c>
      <c r="G227" s="51">
        <f t="shared" si="133"/>
        <v>-4724.5549999999994</v>
      </c>
      <c r="H227" s="51">
        <f t="shared" si="133"/>
        <v>-4965.7102000000004</v>
      </c>
      <c r="I227" s="51">
        <f t="shared" si="133"/>
        <v>-7890.4021000000012</v>
      </c>
      <c r="J227" s="51">
        <f t="shared" si="133"/>
        <v>-7152.956244</v>
      </c>
      <c r="K227" s="51">
        <f t="shared" si="133"/>
        <v>-6874.1384619999999</v>
      </c>
      <c r="L227" s="51">
        <f t="shared" si="133"/>
        <v>-5921.4003736800005</v>
      </c>
      <c r="M227" s="51">
        <f t="shared" si="133"/>
        <v>-5860.0604616400005</v>
      </c>
      <c r="N227" s="51">
        <f t="shared" si="133"/>
        <v>-6440.9580822096004</v>
      </c>
      <c r="O227" s="51">
        <f t="shared" si="133"/>
        <v>-8140.2133015608015</v>
      </c>
      <c r="P227" s="51">
        <f t="shared" si="133"/>
        <v>-9980.7607780861126</v>
      </c>
      <c r="Q227" s="51">
        <f t="shared" si="133"/>
        <v>-12067.346926343378</v>
      </c>
      <c r="R227" s="51">
        <f t="shared" si="133"/>
        <v>-15897.767371178947</v>
      </c>
      <c r="S227" s="51">
        <f t="shared" si="133"/>
        <v>-15566.316323795543</v>
      </c>
      <c r="T227" s="51">
        <f t="shared" si="133"/>
        <v>-19044.008821659369</v>
      </c>
      <c r="U227" s="51">
        <f t="shared" si="133"/>
        <v>-20683.839591235021</v>
      </c>
      <c r="V227" s="51">
        <f t="shared" si="133"/>
        <v>-17891.681940765062</v>
      </c>
      <c r="W227" s="51">
        <f t="shared" si="133"/>
        <v>-16539.694710071704</v>
      </c>
      <c r="X227" s="51">
        <f t="shared" si="133"/>
        <v>-13422.170026968313</v>
      </c>
      <c r="Y227" s="51">
        <f t="shared" si="133"/>
        <v>-13124.732836215779</v>
      </c>
      <c r="Z227" s="51">
        <f t="shared" si="133"/>
        <v>-13229.37740593303</v>
      </c>
      <c r="AA227" s="51">
        <f t="shared" si="133"/>
        <v>-20146.691223967471</v>
      </c>
      <c r="AB227" s="51">
        <f t="shared" si="133"/>
        <v>-21750.713029305269</v>
      </c>
      <c r="AC227" s="51">
        <f t="shared" si="133"/>
        <v>-25907.522069272847</v>
      </c>
      <c r="AD227" s="51">
        <f t="shared" si="133"/>
        <v>-30608.156866447156</v>
      </c>
      <c r="AE227" s="10"/>
      <c r="AF227" s="10"/>
      <c r="AG227" s="10"/>
      <c r="AH227" s="10"/>
      <c r="AI227" s="10"/>
      <c r="AJ227" s="10"/>
      <c r="AK227" s="10"/>
      <c r="AL227" s="10"/>
      <c r="AM227" s="10"/>
    </row>
    <row r="228" spans="1:39" ht="16.5" hidden="1" customHeight="1" outlineLevel="1" x14ac:dyDescent="0.2">
      <c r="A228" s="48"/>
      <c r="B228" s="81" t="s">
        <v>51</v>
      </c>
      <c r="C228" s="50">
        <v>310</v>
      </c>
      <c r="D228" s="51">
        <f t="shared" ref="D228:AD228" si="134">-D49*$C228</f>
        <v>-1860</v>
      </c>
      <c r="E228" s="51">
        <f t="shared" si="134"/>
        <v>-4030</v>
      </c>
      <c r="F228" s="51">
        <f t="shared" si="134"/>
        <v>-6200</v>
      </c>
      <c r="G228" s="51">
        <f t="shared" si="134"/>
        <v>-10230</v>
      </c>
      <c r="H228" s="51">
        <f t="shared" si="134"/>
        <v>-10230</v>
      </c>
      <c r="I228" s="51">
        <f t="shared" si="134"/>
        <v>-16120</v>
      </c>
      <c r="J228" s="51">
        <f t="shared" si="134"/>
        <v>-14260</v>
      </c>
      <c r="K228" s="51">
        <f t="shared" si="134"/>
        <v>-12090</v>
      </c>
      <c r="L228" s="51">
        <f t="shared" si="134"/>
        <v>-10230</v>
      </c>
      <c r="M228" s="51">
        <f t="shared" si="134"/>
        <v>-10230</v>
      </c>
      <c r="N228" s="51">
        <f t="shared" si="134"/>
        <v>-12090</v>
      </c>
      <c r="O228" s="51">
        <f t="shared" si="134"/>
        <v>-16120</v>
      </c>
      <c r="P228" s="51">
        <f t="shared" si="134"/>
        <v>-20150</v>
      </c>
      <c r="Q228" s="51">
        <f t="shared" si="134"/>
        <v>-24180</v>
      </c>
      <c r="R228" s="51">
        <f t="shared" si="134"/>
        <v>-32240</v>
      </c>
      <c r="S228" s="51">
        <f t="shared" si="134"/>
        <v>-30380</v>
      </c>
      <c r="T228" s="51">
        <f t="shared" si="134"/>
        <v>-36580</v>
      </c>
      <c r="U228" s="51">
        <f t="shared" si="134"/>
        <v>-40610</v>
      </c>
      <c r="V228" s="51">
        <f t="shared" si="134"/>
        <v>-32240</v>
      </c>
      <c r="W228" s="51">
        <f t="shared" si="134"/>
        <v>-28210</v>
      </c>
      <c r="X228" s="51">
        <f t="shared" si="134"/>
        <v>-22320</v>
      </c>
      <c r="Y228" s="51">
        <f t="shared" si="134"/>
        <v>-22320</v>
      </c>
      <c r="Z228" s="51">
        <f t="shared" si="134"/>
        <v>-24180</v>
      </c>
      <c r="AA228" s="51">
        <f t="shared" si="134"/>
        <v>-40610</v>
      </c>
      <c r="AB228" s="51">
        <f t="shared" si="134"/>
        <v>-44330</v>
      </c>
      <c r="AC228" s="51">
        <f t="shared" si="134"/>
        <v>-50530</v>
      </c>
      <c r="AD228" s="51">
        <f t="shared" si="134"/>
        <v>-60760</v>
      </c>
      <c r="AE228" s="10"/>
      <c r="AF228" s="10"/>
      <c r="AG228" s="10"/>
      <c r="AH228" s="10"/>
      <c r="AI228" s="10"/>
      <c r="AJ228" s="10"/>
      <c r="AK228" s="10"/>
      <c r="AL228" s="10"/>
      <c r="AM228" s="10"/>
    </row>
    <row r="229" spans="1:39" ht="16.5" hidden="1" customHeight="1" outlineLevel="1" x14ac:dyDescent="0.2">
      <c r="A229" s="48"/>
      <c r="B229" s="46" t="s">
        <v>52</v>
      </c>
      <c r="C229" s="82">
        <v>90</v>
      </c>
      <c r="D229" s="51">
        <f t="shared" ref="D229:AD229" si="135">-D49*$C229</f>
        <v>-540</v>
      </c>
      <c r="E229" s="51">
        <f t="shared" si="135"/>
        <v>-1170</v>
      </c>
      <c r="F229" s="51">
        <f t="shared" si="135"/>
        <v>-1800</v>
      </c>
      <c r="G229" s="51">
        <f t="shared" si="135"/>
        <v>-2970</v>
      </c>
      <c r="H229" s="51">
        <f t="shared" si="135"/>
        <v>-2970</v>
      </c>
      <c r="I229" s="51">
        <f t="shared" si="135"/>
        <v>-4680</v>
      </c>
      <c r="J229" s="51">
        <f t="shared" si="135"/>
        <v>-4140</v>
      </c>
      <c r="K229" s="51">
        <f t="shared" si="135"/>
        <v>-3510</v>
      </c>
      <c r="L229" s="51">
        <f t="shared" si="135"/>
        <v>-2970</v>
      </c>
      <c r="M229" s="51">
        <f t="shared" si="135"/>
        <v>-2970</v>
      </c>
      <c r="N229" s="51">
        <f t="shared" si="135"/>
        <v>-3510</v>
      </c>
      <c r="O229" s="51">
        <f t="shared" si="135"/>
        <v>-4680</v>
      </c>
      <c r="P229" s="51">
        <f t="shared" si="135"/>
        <v>-5850</v>
      </c>
      <c r="Q229" s="51">
        <f t="shared" si="135"/>
        <v>-7020</v>
      </c>
      <c r="R229" s="51">
        <f t="shared" si="135"/>
        <v>-9360</v>
      </c>
      <c r="S229" s="51">
        <f t="shared" si="135"/>
        <v>-8820</v>
      </c>
      <c r="T229" s="51">
        <f t="shared" si="135"/>
        <v>-10620</v>
      </c>
      <c r="U229" s="51">
        <f t="shared" si="135"/>
        <v>-11790</v>
      </c>
      <c r="V229" s="51">
        <f t="shared" si="135"/>
        <v>-9360</v>
      </c>
      <c r="W229" s="51">
        <f t="shared" si="135"/>
        <v>-8190</v>
      </c>
      <c r="X229" s="51">
        <f t="shared" si="135"/>
        <v>-6480</v>
      </c>
      <c r="Y229" s="51">
        <f t="shared" si="135"/>
        <v>-6480</v>
      </c>
      <c r="Z229" s="51">
        <f t="shared" si="135"/>
        <v>-7020</v>
      </c>
      <c r="AA229" s="51">
        <f t="shared" si="135"/>
        <v>-11790</v>
      </c>
      <c r="AB229" s="51">
        <f t="shared" si="135"/>
        <v>-12870</v>
      </c>
      <c r="AC229" s="51">
        <f t="shared" si="135"/>
        <v>-14670</v>
      </c>
      <c r="AD229" s="51">
        <f t="shared" si="135"/>
        <v>-17640</v>
      </c>
      <c r="AE229" s="10"/>
      <c r="AF229" s="10"/>
      <c r="AG229" s="10"/>
      <c r="AH229" s="10"/>
      <c r="AI229" s="10"/>
      <c r="AJ229" s="10"/>
      <c r="AK229" s="10"/>
      <c r="AL229" s="10"/>
      <c r="AM229" s="10"/>
    </row>
    <row r="230" spans="1:39" ht="16.5" hidden="1" customHeight="1" outlineLevel="1" x14ac:dyDescent="0.2">
      <c r="A230" s="48"/>
      <c r="B230" s="83" t="s">
        <v>53</v>
      </c>
      <c r="C230" s="55">
        <v>0.1</v>
      </c>
      <c r="D230" s="51">
        <f t="shared" ref="D230:AD230" si="136">-D41*$C230</f>
        <v>-1581</v>
      </c>
      <c r="E230" s="51">
        <f t="shared" si="136"/>
        <v>-3425.5</v>
      </c>
      <c r="F230" s="51">
        <f t="shared" si="136"/>
        <v>-5617.8200000000006</v>
      </c>
      <c r="G230" s="51">
        <f t="shared" si="136"/>
        <v>-9449.1099999999988</v>
      </c>
      <c r="H230" s="51">
        <f t="shared" si="136"/>
        <v>-9931.4204000000009</v>
      </c>
      <c r="I230" s="51">
        <f t="shared" si="136"/>
        <v>-15780.804200000002</v>
      </c>
      <c r="J230" s="51">
        <f t="shared" si="136"/>
        <v>-14305.912488</v>
      </c>
      <c r="K230" s="51">
        <f t="shared" si="136"/>
        <v>-13748.276924</v>
      </c>
      <c r="L230" s="51">
        <f t="shared" si="136"/>
        <v>-11842.800747360001</v>
      </c>
      <c r="M230" s="51">
        <f t="shared" si="136"/>
        <v>-11720.120923280001</v>
      </c>
      <c r="N230" s="51">
        <f t="shared" si="136"/>
        <v>-12881.916164419201</v>
      </c>
      <c r="O230" s="51">
        <f t="shared" si="136"/>
        <v>-16280.426603121603</v>
      </c>
      <c r="P230" s="51">
        <f t="shared" si="136"/>
        <v>-19961.521556172225</v>
      </c>
      <c r="Q230" s="51">
        <f t="shared" si="136"/>
        <v>-24134.693852686756</v>
      </c>
      <c r="R230" s="51">
        <f t="shared" si="136"/>
        <v>-31795.534742357893</v>
      </c>
      <c r="S230" s="51">
        <f t="shared" si="136"/>
        <v>-31132.632647591086</v>
      </c>
      <c r="T230" s="51">
        <f t="shared" si="136"/>
        <v>-38088.017643318737</v>
      </c>
      <c r="U230" s="51">
        <f t="shared" si="136"/>
        <v>-41367.679182470041</v>
      </c>
      <c r="V230" s="51">
        <f t="shared" si="136"/>
        <v>-35783.363881530124</v>
      </c>
      <c r="W230" s="51">
        <f t="shared" si="136"/>
        <v>-33079.389420143409</v>
      </c>
      <c r="X230" s="51">
        <f t="shared" si="136"/>
        <v>-26844.340053936627</v>
      </c>
      <c r="Y230" s="51">
        <f t="shared" si="136"/>
        <v>-26249.465672431557</v>
      </c>
      <c r="Z230" s="51">
        <f t="shared" si="136"/>
        <v>-26458.75481186606</v>
      </c>
      <c r="AA230" s="51">
        <f t="shared" si="136"/>
        <v>-40293.382447934942</v>
      </c>
      <c r="AB230" s="51">
        <f t="shared" si="136"/>
        <v>-43501.426058610537</v>
      </c>
      <c r="AC230" s="51">
        <f t="shared" si="136"/>
        <v>-51815.044138545694</v>
      </c>
      <c r="AD230" s="51">
        <f t="shared" si="136"/>
        <v>-61216.313732894312</v>
      </c>
      <c r="AE230" s="10"/>
      <c r="AF230" s="10"/>
      <c r="AG230" s="10"/>
      <c r="AH230" s="10"/>
      <c r="AI230" s="10"/>
      <c r="AJ230" s="10"/>
      <c r="AK230" s="10"/>
      <c r="AL230" s="10"/>
      <c r="AM230" s="10"/>
    </row>
    <row r="231" spans="1:39" ht="15.75" hidden="1" customHeight="1" outlineLevel="1" x14ac:dyDescent="0.2">
      <c r="A231" s="16"/>
      <c r="B231" s="46" t="s">
        <v>54</v>
      </c>
      <c r="C231" s="50">
        <v>60</v>
      </c>
      <c r="D231" s="51">
        <f t="shared" ref="D231:AD231" si="137">-D49*$C231</f>
        <v>-360</v>
      </c>
      <c r="E231" s="51">
        <f t="shared" si="137"/>
        <v>-780</v>
      </c>
      <c r="F231" s="51">
        <f t="shared" si="137"/>
        <v>-1200</v>
      </c>
      <c r="G231" s="51">
        <f t="shared" si="137"/>
        <v>-1980</v>
      </c>
      <c r="H231" s="51">
        <f t="shared" si="137"/>
        <v>-1980</v>
      </c>
      <c r="I231" s="51">
        <f t="shared" si="137"/>
        <v>-3120</v>
      </c>
      <c r="J231" s="51">
        <f t="shared" si="137"/>
        <v>-2760</v>
      </c>
      <c r="K231" s="51">
        <f t="shared" si="137"/>
        <v>-2340</v>
      </c>
      <c r="L231" s="51">
        <f t="shared" si="137"/>
        <v>-1980</v>
      </c>
      <c r="M231" s="51">
        <f t="shared" si="137"/>
        <v>-1980</v>
      </c>
      <c r="N231" s="51">
        <f t="shared" si="137"/>
        <v>-2340</v>
      </c>
      <c r="O231" s="51">
        <f t="shared" si="137"/>
        <v>-3120</v>
      </c>
      <c r="P231" s="51">
        <f t="shared" si="137"/>
        <v>-3900</v>
      </c>
      <c r="Q231" s="51">
        <f t="shared" si="137"/>
        <v>-4680</v>
      </c>
      <c r="R231" s="51">
        <f t="shared" si="137"/>
        <v>-6240</v>
      </c>
      <c r="S231" s="51">
        <f t="shared" si="137"/>
        <v>-5880</v>
      </c>
      <c r="T231" s="51">
        <f t="shared" si="137"/>
        <v>-7080</v>
      </c>
      <c r="U231" s="51">
        <f t="shared" si="137"/>
        <v>-7860</v>
      </c>
      <c r="V231" s="51">
        <f t="shared" si="137"/>
        <v>-6240</v>
      </c>
      <c r="W231" s="51">
        <f t="shared" si="137"/>
        <v>-5460</v>
      </c>
      <c r="X231" s="51">
        <f t="shared" si="137"/>
        <v>-4320</v>
      </c>
      <c r="Y231" s="51">
        <f t="shared" si="137"/>
        <v>-4320</v>
      </c>
      <c r="Z231" s="51">
        <f t="shared" si="137"/>
        <v>-4680</v>
      </c>
      <c r="AA231" s="51">
        <f t="shared" si="137"/>
        <v>-7860</v>
      </c>
      <c r="AB231" s="51">
        <f t="shared" si="137"/>
        <v>-8580</v>
      </c>
      <c r="AC231" s="51">
        <f t="shared" si="137"/>
        <v>-9780</v>
      </c>
      <c r="AD231" s="51">
        <f t="shared" si="137"/>
        <v>-11760</v>
      </c>
      <c r="AE231" s="10"/>
      <c r="AF231" s="10"/>
      <c r="AG231" s="10"/>
      <c r="AH231" s="10"/>
      <c r="AI231" s="10"/>
      <c r="AJ231" s="10"/>
      <c r="AK231" s="10"/>
      <c r="AL231" s="10"/>
      <c r="AM231" s="10"/>
    </row>
    <row r="232" spans="1:39" ht="15.75" customHeight="1" collapsed="1" x14ac:dyDescent="0.25">
      <c r="A232" s="84"/>
      <c r="B232" s="541" t="s">
        <v>435</v>
      </c>
      <c r="C232" s="85"/>
      <c r="D232" s="86">
        <f t="shared" ref="D232:AD232" si="138">SUM(D233:D237)</f>
        <v>-5131.5</v>
      </c>
      <c r="E232" s="86">
        <f t="shared" si="138"/>
        <v>-11118.25</v>
      </c>
      <c r="F232" s="86">
        <f t="shared" si="138"/>
        <v>-17626.73</v>
      </c>
      <c r="G232" s="86">
        <f t="shared" si="138"/>
        <v>-29353.665000000001</v>
      </c>
      <c r="H232" s="86">
        <f t="shared" si="138"/>
        <v>-30077.130600000004</v>
      </c>
      <c r="I232" s="86">
        <f t="shared" si="138"/>
        <v>-47591.206300000005</v>
      </c>
      <c r="J232" s="86">
        <f t="shared" si="138"/>
        <v>-42618.868732000003</v>
      </c>
      <c r="K232" s="86">
        <f t="shared" si="138"/>
        <v>-38562.415386000001</v>
      </c>
      <c r="L232" s="86">
        <f t="shared" si="138"/>
        <v>-32944.201121040001</v>
      </c>
      <c r="M232" s="86">
        <f t="shared" si="138"/>
        <v>-32760.181384920004</v>
      </c>
      <c r="N232" s="86">
        <f t="shared" si="138"/>
        <v>-37262.874246628802</v>
      </c>
      <c r="O232" s="86">
        <f t="shared" si="138"/>
        <v>-48340.639904682408</v>
      </c>
      <c r="P232" s="86">
        <f t="shared" si="138"/>
        <v>-59842.282334258343</v>
      </c>
      <c r="Q232" s="86">
        <f t="shared" si="138"/>
        <v>-72082.04077903014</v>
      </c>
      <c r="R232" s="86">
        <f t="shared" si="138"/>
        <v>-95533.302113536833</v>
      </c>
      <c r="S232" s="86">
        <f t="shared" si="138"/>
        <v>-91778.948971386635</v>
      </c>
      <c r="T232" s="86">
        <f t="shared" si="138"/>
        <v>-111412.02646497812</v>
      </c>
      <c r="U232" s="86">
        <f t="shared" si="138"/>
        <v>-122311.51877370506</v>
      </c>
      <c r="V232" s="86">
        <f t="shared" si="138"/>
        <v>-101515.04582229519</v>
      </c>
      <c r="W232" s="86">
        <f t="shared" si="138"/>
        <v>-91479.084130215109</v>
      </c>
      <c r="X232" s="86">
        <f t="shared" si="138"/>
        <v>-73386.510080904933</v>
      </c>
      <c r="Y232" s="86">
        <f t="shared" si="138"/>
        <v>-72494.198508647329</v>
      </c>
      <c r="Z232" s="86">
        <f t="shared" si="138"/>
        <v>-75568.132217799095</v>
      </c>
      <c r="AA232" s="86">
        <f t="shared" si="138"/>
        <v>-120700.07367190241</v>
      </c>
      <c r="AB232" s="86">
        <f t="shared" si="138"/>
        <v>-131032.13908791581</v>
      </c>
      <c r="AC232" s="86">
        <f t="shared" si="138"/>
        <v>-152702.56620781854</v>
      </c>
      <c r="AD232" s="86">
        <f t="shared" si="138"/>
        <v>-181984.47059934147</v>
      </c>
      <c r="AE232" s="87"/>
      <c r="AF232" s="87"/>
      <c r="AG232" s="87"/>
      <c r="AH232" s="87"/>
      <c r="AI232" s="87"/>
      <c r="AJ232" s="87"/>
      <c r="AK232" s="87"/>
      <c r="AL232" s="87"/>
      <c r="AM232" s="87"/>
    </row>
    <row r="233" spans="1:39" ht="15.75" hidden="1" customHeight="1" outlineLevel="1" x14ac:dyDescent="0.2">
      <c r="A233" s="16"/>
      <c r="B233" s="46" t="s">
        <v>50</v>
      </c>
      <c r="C233" s="55">
        <v>0.05</v>
      </c>
      <c r="D233" s="51">
        <f t="shared" ref="D233:AD233" si="139">-D53*$C233</f>
        <v>-790.5</v>
      </c>
      <c r="E233" s="51">
        <f t="shared" si="139"/>
        <v>-1712.75</v>
      </c>
      <c r="F233" s="51">
        <f t="shared" si="139"/>
        <v>-2808.9100000000003</v>
      </c>
      <c r="G233" s="51">
        <f t="shared" si="139"/>
        <v>-4724.5549999999994</v>
      </c>
      <c r="H233" s="51">
        <f t="shared" si="139"/>
        <v>-4965.7102000000004</v>
      </c>
      <c r="I233" s="51">
        <f t="shared" si="139"/>
        <v>-7890.4021000000012</v>
      </c>
      <c r="J233" s="51">
        <f t="shared" si="139"/>
        <v>-7152.956244</v>
      </c>
      <c r="K233" s="51">
        <f t="shared" si="139"/>
        <v>-6874.1384619999999</v>
      </c>
      <c r="L233" s="51">
        <f t="shared" si="139"/>
        <v>-5921.4003736800005</v>
      </c>
      <c r="M233" s="51">
        <f t="shared" si="139"/>
        <v>-5860.0604616400005</v>
      </c>
      <c r="N233" s="51">
        <f t="shared" si="139"/>
        <v>-6440.9580822096004</v>
      </c>
      <c r="O233" s="51">
        <f t="shared" si="139"/>
        <v>-8140.2133015608015</v>
      </c>
      <c r="P233" s="51">
        <f t="shared" si="139"/>
        <v>-9980.7607780861126</v>
      </c>
      <c r="Q233" s="51">
        <f t="shared" si="139"/>
        <v>-12067.346926343378</v>
      </c>
      <c r="R233" s="51">
        <f t="shared" si="139"/>
        <v>-15897.767371178947</v>
      </c>
      <c r="S233" s="51">
        <f t="shared" si="139"/>
        <v>-15566.316323795543</v>
      </c>
      <c r="T233" s="51">
        <f t="shared" si="139"/>
        <v>-19044.008821659369</v>
      </c>
      <c r="U233" s="51">
        <f t="shared" si="139"/>
        <v>-20683.839591235021</v>
      </c>
      <c r="V233" s="51">
        <f t="shared" si="139"/>
        <v>-17891.681940765062</v>
      </c>
      <c r="W233" s="51">
        <f t="shared" si="139"/>
        <v>-16539.694710071704</v>
      </c>
      <c r="X233" s="51">
        <f t="shared" si="139"/>
        <v>-13422.170026968313</v>
      </c>
      <c r="Y233" s="51">
        <f t="shared" si="139"/>
        <v>-13124.732836215779</v>
      </c>
      <c r="Z233" s="51">
        <f t="shared" si="139"/>
        <v>-13229.37740593303</v>
      </c>
      <c r="AA233" s="51">
        <f t="shared" si="139"/>
        <v>-20146.691223967471</v>
      </c>
      <c r="AB233" s="51">
        <f t="shared" si="139"/>
        <v>-21750.713029305269</v>
      </c>
      <c r="AC233" s="51">
        <f t="shared" si="139"/>
        <v>-25907.522069272847</v>
      </c>
      <c r="AD233" s="51">
        <f t="shared" si="139"/>
        <v>-30608.156866447156</v>
      </c>
      <c r="AE233" s="10"/>
      <c r="AF233" s="10"/>
      <c r="AG233" s="10"/>
      <c r="AH233" s="10"/>
      <c r="AI233" s="10"/>
      <c r="AJ233" s="10"/>
      <c r="AK233" s="10"/>
      <c r="AL233" s="10"/>
      <c r="AM233" s="10"/>
    </row>
    <row r="234" spans="1:39" ht="15.75" hidden="1" customHeight="1" outlineLevel="1" x14ac:dyDescent="0.2">
      <c r="A234" s="16"/>
      <c r="B234" s="81" t="s">
        <v>51</v>
      </c>
      <c r="C234" s="50">
        <v>310</v>
      </c>
      <c r="D234" s="51">
        <f t="shared" ref="D234:AD234" si="140">-D61*$C234</f>
        <v>-1860</v>
      </c>
      <c r="E234" s="51">
        <f t="shared" si="140"/>
        <v>-4030</v>
      </c>
      <c r="F234" s="51">
        <f t="shared" si="140"/>
        <v>-6200</v>
      </c>
      <c r="G234" s="51">
        <f t="shared" si="140"/>
        <v>-10230</v>
      </c>
      <c r="H234" s="51">
        <f t="shared" si="140"/>
        <v>-10230</v>
      </c>
      <c r="I234" s="51">
        <f t="shared" si="140"/>
        <v>-16120</v>
      </c>
      <c r="J234" s="51">
        <f t="shared" si="140"/>
        <v>-14260</v>
      </c>
      <c r="K234" s="51">
        <f t="shared" si="140"/>
        <v>-12090</v>
      </c>
      <c r="L234" s="51">
        <f t="shared" si="140"/>
        <v>-10230</v>
      </c>
      <c r="M234" s="51">
        <f t="shared" si="140"/>
        <v>-10230</v>
      </c>
      <c r="N234" s="51">
        <f t="shared" si="140"/>
        <v>-12090</v>
      </c>
      <c r="O234" s="51">
        <f t="shared" si="140"/>
        <v>-16120</v>
      </c>
      <c r="P234" s="51">
        <f t="shared" si="140"/>
        <v>-20150</v>
      </c>
      <c r="Q234" s="51">
        <f t="shared" si="140"/>
        <v>-24180</v>
      </c>
      <c r="R234" s="51">
        <f t="shared" si="140"/>
        <v>-32240</v>
      </c>
      <c r="S234" s="51">
        <f t="shared" si="140"/>
        <v>-30380</v>
      </c>
      <c r="T234" s="51">
        <f t="shared" si="140"/>
        <v>-36580</v>
      </c>
      <c r="U234" s="51">
        <f t="shared" si="140"/>
        <v>-40610</v>
      </c>
      <c r="V234" s="51">
        <f t="shared" si="140"/>
        <v>-32240</v>
      </c>
      <c r="W234" s="51">
        <f t="shared" si="140"/>
        <v>-28210</v>
      </c>
      <c r="X234" s="51">
        <f t="shared" si="140"/>
        <v>-22320</v>
      </c>
      <c r="Y234" s="51">
        <f t="shared" si="140"/>
        <v>-22320</v>
      </c>
      <c r="Z234" s="51">
        <f t="shared" si="140"/>
        <v>-24180</v>
      </c>
      <c r="AA234" s="51">
        <f t="shared" si="140"/>
        <v>-40610</v>
      </c>
      <c r="AB234" s="51">
        <f t="shared" si="140"/>
        <v>-44330</v>
      </c>
      <c r="AC234" s="51">
        <f t="shared" si="140"/>
        <v>-50530</v>
      </c>
      <c r="AD234" s="51">
        <f t="shared" si="140"/>
        <v>-60760</v>
      </c>
      <c r="AE234" s="10"/>
      <c r="AF234" s="10"/>
      <c r="AG234" s="10"/>
      <c r="AH234" s="10"/>
      <c r="AI234" s="10"/>
      <c r="AJ234" s="10"/>
      <c r="AK234" s="10"/>
      <c r="AL234" s="10"/>
      <c r="AM234" s="10"/>
    </row>
    <row r="235" spans="1:39" ht="15.75" hidden="1" customHeight="1" outlineLevel="1" x14ac:dyDescent="0.2">
      <c r="A235" s="16"/>
      <c r="B235" s="46" t="s">
        <v>52</v>
      </c>
      <c r="C235" s="82">
        <v>90</v>
      </c>
      <c r="D235" s="51">
        <f t="shared" ref="D235:AD235" si="141">-D61*$C235</f>
        <v>-540</v>
      </c>
      <c r="E235" s="51">
        <f t="shared" si="141"/>
        <v>-1170</v>
      </c>
      <c r="F235" s="51">
        <f t="shared" si="141"/>
        <v>-1800</v>
      </c>
      <c r="G235" s="51">
        <f t="shared" si="141"/>
        <v>-2970</v>
      </c>
      <c r="H235" s="51">
        <f t="shared" si="141"/>
        <v>-2970</v>
      </c>
      <c r="I235" s="51">
        <f t="shared" si="141"/>
        <v>-4680</v>
      </c>
      <c r="J235" s="51">
        <f t="shared" si="141"/>
        <v>-4140</v>
      </c>
      <c r="K235" s="51">
        <f t="shared" si="141"/>
        <v>-3510</v>
      </c>
      <c r="L235" s="51">
        <f t="shared" si="141"/>
        <v>-2970</v>
      </c>
      <c r="M235" s="51">
        <f t="shared" si="141"/>
        <v>-2970</v>
      </c>
      <c r="N235" s="51">
        <f t="shared" si="141"/>
        <v>-3510</v>
      </c>
      <c r="O235" s="51">
        <f t="shared" si="141"/>
        <v>-4680</v>
      </c>
      <c r="P235" s="51">
        <f t="shared" si="141"/>
        <v>-5850</v>
      </c>
      <c r="Q235" s="51">
        <f t="shared" si="141"/>
        <v>-7020</v>
      </c>
      <c r="R235" s="51">
        <f t="shared" si="141"/>
        <v>-9360</v>
      </c>
      <c r="S235" s="51">
        <f t="shared" si="141"/>
        <v>-8820</v>
      </c>
      <c r="T235" s="51">
        <f t="shared" si="141"/>
        <v>-10620</v>
      </c>
      <c r="U235" s="51">
        <f t="shared" si="141"/>
        <v>-11790</v>
      </c>
      <c r="V235" s="51">
        <f t="shared" si="141"/>
        <v>-9360</v>
      </c>
      <c r="W235" s="51">
        <f t="shared" si="141"/>
        <v>-8190</v>
      </c>
      <c r="X235" s="51">
        <f t="shared" si="141"/>
        <v>-6480</v>
      </c>
      <c r="Y235" s="51">
        <f t="shared" si="141"/>
        <v>-6480</v>
      </c>
      <c r="Z235" s="51">
        <f t="shared" si="141"/>
        <v>-7020</v>
      </c>
      <c r="AA235" s="51">
        <f t="shared" si="141"/>
        <v>-11790</v>
      </c>
      <c r="AB235" s="51">
        <f t="shared" si="141"/>
        <v>-12870</v>
      </c>
      <c r="AC235" s="51">
        <f t="shared" si="141"/>
        <v>-14670</v>
      </c>
      <c r="AD235" s="51">
        <f t="shared" si="141"/>
        <v>-17640</v>
      </c>
      <c r="AE235" s="10"/>
      <c r="AF235" s="10"/>
      <c r="AG235" s="10"/>
      <c r="AH235" s="10"/>
      <c r="AI235" s="10"/>
      <c r="AJ235" s="10"/>
      <c r="AK235" s="10"/>
      <c r="AL235" s="10"/>
      <c r="AM235" s="10"/>
    </row>
    <row r="236" spans="1:39" ht="15.75" hidden="1" customHeight="1" outlineLevel="1" x14ac:dyDescent="0.2">
      <c r="A236" s="16"/>
      <c r="B236" s="83" t="s">
        <v>53</v>
      </c>
      <c r="C236" s="55">
        <v>0.1</v>
      </c>
      <c r="D236" s="51">
        <f t="shared" ref="D236:AD236" si="142">-D53*$C236</f>
        <v>-1581</v>
      </c>
      <c r="E236" s="51">
        <f t="shared" si="142"/>
        <v>-3425.5</v>
      </c>
      <c r="F236" s="51">
        <f t="shared" si="142"/>
        <v>-5617.8200000000006</v>
      </c>
      <c r="G236" s="51">
        <f t="shared" si="142"/>
        <v>-9449.1099999999988</v>
      </c>
      <c r="H236" s="51">
        <f t="shared" si="142"/>
        <v>-9931.4204000000009</v>
      </c>
      <c r="I236" s="51">
        <f t="shared" si="142"/>
        <v>-15780.804200000002</v>
      </c>
      <c r="J236" s="51">
        <f t="shared" si="142"/>
        <v>-14305.912488</v>
      </c>
      <c r="K236" s="51">
        <f t="shared" si="142"/>
        <v>-13748.276924</v>
      </c>
      <c r="L236" s="51">
        <f t="shared" si="142"/>
        <v>-11842.800747360001</v>
      </c>
      <c r="M236" s="51">
        <f t="shared" si="142"/>
        <v>-11720.120923280001</v>
      </c>
      <c r="N236" s="51">
        <f t="shared" si="142"/>
        <v>-12881.916164419201</v>
      </c>
      <c r="O236" s="51">
        <f t="shared" si="142"/>
        <v>-16280.426603121603</v>
      </c>
      <c r="P236" s="51">
        <f t="shared" si="142"/>
        <v>-19961.521556172225</v>
      </c>
      <c r="Q236" s="51">
        <f t="shared" si="142"/>
        <v>-24134.693852686756</v>
      </c>
      <c r="R236" s="51">
        <f t="shared" si="142"/>
        <v>-31795.534742357893</v>
      </c>
      <c r="S236" s="51">
        <f t="shared" si="142"/>
        <v>-31132.632647591086</v>
      </c>
      <c r="T236" s="51">
        <f t="shared" si="142"/>
        <v>-38088.017643318737</v>
      </c>
      <c r="U236" s="51">
        <f t="shared" si="142"/>
        <v>-41367.679182470041</v>
      </c>
      <c r="V236" s="51">
        <f t="shared" si="142"/>
        <v>-35783.363881530124</v>
      </c>
      <c r="W236" s="51">
        <f t="shared" si="142"/>
        <v>-33079.389420143409</v>
      </c>
      <c r="X236" s="51">
        <f t="shared" si="142"/>
        <v>-26844.340053936627</v>
      </c>
      <c r="Y236" s="51">
        <f t="shared" si="142"/>
        <v>-26249.465672431557</v>
      </c>
      <c r="Z236" s="51">
        <f t="shared" si="142"/>
        <v>-26458.75481186606</v>
      </c>
      <c r="AA236" s="51">
        <f t="shared" si="142"/>
        <v>-40293.382447934942</v>
      </c>
      <c r="AB236" s="51">
        <f t="shared" si="142"/>
        <v>-43501.426058610537</v>
      </c>
      <c r="AC236" s="51">
        <f t="shared" si="142"/>
        <v>-51815.044138545694</v>
      </c>
      <c r="AD236" s="51">
        <f t="shared" si="142"/>
        <v>-61216.313732894312</v>
      </c>
      <c r="AE236" s="10"/>
      <c r="AF236" s="10"/>
      <c r="AG236" s="10"/>
      <c r="AH236" s="10"/>
      <c r="AI236" s="10"/>
      <c r="AJ236" s="10"/>
      <c r="AK236" s="10"/>
      <c r="AL236" s="10"/>
      <c r="AM236" s="10"/>
    </row>
    <row r="237" spans="1:39" ht="15.75" hidden="1" customHeight="1" outlineLevel="1" x14ac:dyDescent="0.2">
      <c r="A237" s="16"/>
      <c r="B237" s="46" t="s">
        <v>54</v>
      </c>
      <c r="C237" s="50">
        <v>60</v>
      </c>
      <c r="D237" s="51">
        <f t="shared" ref="D237:AD237" si="143">-D61*$C237</f>
        <v>-360</v>
      </c>
      <c r="E237" s="51">
        <f t="shared" si="143"/>
        <v>-780</v>
      </c>
      <c r="F237" s="51">
        <f t="shared" si="143"/>
        <v>-1200</v>
      </c>
      <c r="G237" s="51">
        <f t="shared" si="143"/>
        <v>-1980</v>
      </c>
      <c r="H237" s="51">
        <f t="shared" si="143"/>
        <v>-1980</v>
      </c>
      <c r="I237" s="51">
        <f t="shared" si="143"/>
        <v>-3120</v>
      </c>
      <c r="J237" s="51">
        <f t="shared" si="143"/>
        <v>-2760</v>
      </c>
      <c r="K237" s="51">
        <f t="shared" si="143"/>
        <v>-2340</v>
      </c>
      <c r="L237" s="51">
        <f t="shared" si="143"/>
        <v>-1980</v>
      </c>
      <c r="M237" s="51">
        <f t="shared" si="143"/>
        <v>-1980</v>
      </c>
      <c r="N237" s="51">
        <f t="shared" si="143"/>
        <v>-2340</v>
      </c>
      <c r="O237" s="51">
        <f t="shared" si="143"/>
        <v>-3120</v>
      </c>
      <c r="P237" s="51">
        <f t="shared" si="143"/>
        <v>-3900</v>
      </c>
      <c r="Q237" s="51">
        <f t="shared" si="143"/>
        <v>-4680</v>
      </c>
      <c r="R237" s="51">
        <f t="shared" si="143"/>
        <v>-6240</v>
      </c>
      <c r="S237" s="51">
        <f t="shared" si="143"/>
        <v>-5880</v>
      </c>
      <c r="T237" s="51">
        <f t="shared" si="143"/>
        <v>-7080</v>
      </c>
      <c r="U237" s="51">
        <f t="shared" si="143"/>
        <v>-7860</v>
      </c>
      <c r="V237" s="51">
        <f t="shared" si="143"/>
        <v>-6240</v>
      </c>
      <c r="W237" s="51">
        <f t="shared" si="143"/>
        <v>-5460</v>
      </c>
      <c r="X237" s="51">
        <f t="shared" si="143"/>
        <v>-4320</v>
      </c>
      <c r="Y237" s="51">
        <f t="shared" si="143"/>
        <v>-4320</v>
      </c>
      <c r="Z237" s="51">
        <f t="shared" si="143"/>
        <v>-4680</v>
      </c>
      <c r="AA237" s="51">
        <f t="shared" si="143"/>
        <v>-7860</v>
      </c>
      <c r="AB237" s="51">
        <f t="shared" si="143"/>
        <v>-8580</v>
      </c>
      <c r="AC237" s="51">
        <f t="shared" si="143"/>
        <v>-9780</v>
      </c>
      <c r="AD237" s="51">
        <f t="shared" si="143"/>
        <v>-11760</v>
      </c>
      <c r="AE237" s="10"/>
      <c r="AF237" s="10"/>
      <c r="AG237" s="10"/>
      <c r="AH237" s="10"/>
      <c r="AI237" s="10"/>
      <c r="AJ237" s="10"/>
      <c r="AK237" s="10"/>
      <c r="AL237" s="10"/>
      <c r="AM237" s="10"/>
    </row>
    <row r="238" spans="1:39" ht="15.75" customHeight="1" collapsed="1" x14ac:dyDescent="0.2">
      <c r="A238" s="84"/>
      <c r="B238" s="78" t="s">
        <v>45</v>
      </c>
      <c r="C238" s="85"/>
      <c r="D238" s="86">
        <f t="shared" ref="D238:AD238" si="144">SUM(D239:D243)</f>
        <v>-4296</v>
      </c>
      <c r="E238" s="86">
        <f t="shared" si="144"/>
        <v>-9308</v>
      </c>
      <c r="F238" s="86">
        <f t="shared" si="144"/>
        <v>-14723.92</v>
      </c>
      <c r="G238" s="86">
        <f t="shared" si="144"/>
        <v>-24503.16</v>
      </c>
      <c r="H238" s="86">
        <f t="shared" si="144"/>
        <v>-25063.2624</v>
      </c>
      <c r="I238" s="86">
        <f t="shared" si="144"/>
        <v>-39646.095200000003</v>
      </c>
      <c r="J238" s="86">
        <f t="shared" si="144"/>
        <v>-35473.317728000002</v>
      </c>
      <c r="K238" s="86">
        <f t="shared" si="144"/>
        <v>-31955.740944000005</v>
      </c>
      <c r="L238" s="86">
        <f t="shared" si="144"/>
        <v>-27282.929900160001</v>
      </c>
      <c r="M238" s="86">
        <f t="shared" si="144"/>
        <v>-27140.463007680002</v>
      </c>
      <c r="N238" s="86">
        <f t="shared" si="144"/>
        <v>-30949.644578035201</v>
      </c>
      <c r="O238" s="86">
        <f t="shared" si="144"/>
        <v>-40226.301861689601</v>
      </c>
      <c r="P238" s="86">
        <f t="shared" si="144"/>
        <v>-49831.121807167743</v>
      </c>
      <c r="Q238" s="86">
        <f t="shared" si="144"/>
        <v>-60007.386409571714</v>
      </c>
      <c r="R238" s="86">
        <f t="shared" si="144"/>
        <v>-79563.846797576902</v>
      </c>
      <c r="S238" s="86">
        <f t="shared" si="144"/>
        <v>-76334.025010105775</v>
      </c>
      <c r="T238" s="86">
        <f t="shared" si="144"/>
        <v>-92611.246295466917</v>
      </c>
      <c r="U238" s="86">
        <f t="shared" si="144"/>
        <v>-101749.88550222327</v>
      </c>
      <c r="V238" s="86">
        <f t="shared" si="144"/>
        <v>-84194.874185002729</v>
      </c>
      <c r="W238" s="86">
        <f t="shared" si="144"/>
        <v>-75724.774810489122</v>
      </c>
      <c r="X238" s="86">
        <f t="shared" si="144"/>
        <v>-60694.072320700609</v>
      </c>
      <c r="Y238" s="86">
        <f t="shared" si="144"/>
        <v>-60003.250458307608</v>
      </c>
      <c r="Z238" s="86">
        <f t="shared" si="144"/>
        <v>-62706.295910554138</v>
      </c>
      <c r="AA238" s="86">
        <f t="shared" si="144"/>
        <v>-100502.31510082768</v>
      </c>
      <c r="AB238" s="86">
        <f t="shared" si="144"/>
        <v>-109147.78510032193</v>
      </c>
      <c r="AC238" s="86">
        <f t="shared" si="144"/>
        <v>-127002.3093221821</v>
      </c>
      <c r="AD238" s="86">
        <f t="shared" si="144"/>
        <v>-151449.91272207082</v>
      </c>
      <c r="AE238" s="87"/>
      <c r="AF238" s="87"/>
      <c r="AG238" s="87"/>
      <c r="AH238" s="87"/>
      <c r="AI238" s="87"/>
      <c r="AJ238" s="87"/>
      <c r="AK238" s="87"/>
      <c r="AL238" s="87"/>
      <c r="AM238" s="87"/>
    </row>
    <row r="239" spans="1:39" ht="15.75" hidden="1" customHeight="1" outlineLevel="1" x14ac:dyDescent="0.2">
      <c r="A239" s="16"/>
      <c r="B239" s="46" t="s">
        <v>50</v>
      </c>
      <c r="C239" s="55">
        <v>0.05</v>
      </c>
      <c r="D239" s="51">
        <f t="shared" ref="D239:AD239" si="145">-D65*$C239</f>
        <v>-612</v>
      </c>
      <c r="E239" s="51">
        <f t="shared" si="145"/>
        <v>-1326</v>
      </c>
      <c r="F239" s="51">
        <f t="shared" si="145"/>
        <v>-2174.6400000000003</v>
      </c>
      <c r="G239" s="51">
        <f t="shared" si="145"/>
        <v>-3657.72</v>
      </c>
      <c r="H239" s="51">
        <f t="shared" si="145"/>
        <v>-3844.4207999999999</v>
      </c>
      <c r="I239" s="51">
        <f t="shared" si="145"/>
        <v>-6108.6984000000011</v>
      </c>
      <c r="J239" s="51">
        <f t="shared" si="145"/>
        <v>-5537.7725760000003</v>
      </c>
      <c r="K239" s="51">
        <f t="shared" si="145"/>
        <v>-5321.9136480000006</v>
      </c>
      <c r="L239" s="51">
        <f t="shared" si="145"/>
        <v>-4584.3099667200004</v>
      </c>
      <c r="M239" s="51">
        <f t="shared" si="145"/>
        <v>-4536.8210025600001</v>
      </c>
      <c r="N239" s="51">
        <f t="shared" si="145"/>
        <v>-4986.5481926784005</v>
      </c>
      <c r="O239" s="51">
        <f t="shared" si="145"/>
        <v>-6302.1006205632002</v>
      </c>
      <c r="P239" s="51">
        <f t="shared" si="145"/>
        <v>-7727.0406023892474</v>
      </c>
      <c r="Q239" s="51">
        <f t="shared" si="145"/>
        <v>-9342.4621365239054</v>
      </c>
      <c r="R239" s="51">
        <f t="shared" si="145"/>
        <v>-12307.948932525636</v>
      </c>
      <c r="S239" s="51">
        <f t="shared" si="145"/>
        <v>-12051.341670035261</v>
      </c>
      <c r="T239" s="51">
        <f t="shared" si="145"/>
        <v>-14743.748765155638</v>
      </c>
      <c r="U239" s="51">
        <f t="shared" si="145"/>
        <v>-16013.295167407758</v>
      </c>
      <c r="V239" s="51">
        <f t="shared" si="145"/>
        <v>-13851.624728334242</v>
      </c>
      <c r="W239" s="51">
        <f t="shared" si="145"/>
        <v>-12804.924936829708</v>
      </c>
      <c r="X239" s="51">
        <f t="shared" si="145"/>
        <v>-10391.357440233534</v>
      </c>
      <c r="Y239" s="51">
        <f t="shared" si="145"/>
        <v>-10161.083486102536</v>
      </c>
      <c r="Z239" s="51">
        <f t="shared" si="145"/>
        <v>-10242.098636851379</v>
      </c>
      <c r="AA239" s="51">
        <f t="shared" si="145"/>
        <v>-15597.438366942559</v>
      </c>
      <c r="AB239" s="51">
        <f t="shared" si="145"/>
        <v>-16839.261700107305</v>
      </c>
      <c r="AC239" s="51">
        <f t="shared" si="145"/>
        <v>-20057.436440727368</v>
      </c>
      <c r="AD239" s="51">
        <f t="shared" si="145"/>
        <v>-23696.637574023607</v>
      </c>
      <c r="AE239" s="10"/>
      <c r="AF239" s="10"/>
      <c r="AG239" s="10"/>
      <c r="AH239" s="10"/>
      <c r="AI239" s="10"/>
      <c r="AJ239" s="10"/>
      <c r="AK239" s="10"/>
      <c r="AL239" s="10"/>
      <c r="AM239" s="10"/>
    </row>
    <row r="240" spans="1:39" ht="15.75" hidden="1" customHeight="1" outlineLevel="1" x14ac:dyDescent="0.2">
      <c r="A240" s="16"/>
      <c r="B240" s="81" t="s">
        <v>51</v>
      </c>
      <c r="C240" s="50">
        <v>240</v>
      </c>
      <c r="D240" s="51">
        <f t="shared" ref="D240:AD240" si="146">-D73*$C240</f>
        <v>-1440</v>
      </c>
      <c r="E240" s="51">
        <f t="shared" si="146"/>
        <v>-3120</v>
      </c>
      <c r="F240" s="51">
        <f t="shared" si="146"/>
        <v>-4800</v>
      </c>
      <c r="G240" s="51">
        <f t="shared" si="146"/>
        <v>-7920</v>
      </c>
      <c r="H240" s="51">
        <f t="shared" si="146"/>
        <v>-7920</v>
      </c>
      <c r="I240" s="51">
        <f t="shared" si="146"/>
        <v>-12480</v>
      </c>
      <c r="J240" s="51">
        <f t="shared" si="146"/>
        <v>-11040</v>
      </c>
      <c r="K240" s="51">
        <f t="shared" si="146"/>
        <v>-9360</v>
      </c>
      <c r="L240" s="51">
        <f t="shared" si="146"/>
        <v>-7920</v>
      </c>
      <c r="M240" s="51">
        <f t="shared" si="146"/>
        <v>-7920</v>
      </c>
      <c r="N240" s="51">
        <f t="shared" si="146"/>
        <v>-9360</v>
      </c>
      <c r="O240" s="51">
        <f t="shared" si="146"/>
        <v>-12480</v>
      </c>
      <c r="P240" s="51">
        <f t="shared" si="146"/>
        <v>-15600</v>
      </c>
      <c r="Q240" s="51">
        <f t="shared" si="146"/>
        <v>-18720</v>
      </c>
      <c r="R240" s="51">
        <f t="shared" si="146"/>
        <v>-24960</v>
      </c>
      <c r="S240" s="51">
        <f t="shared" si="146"/>
        <v>-23520</v>
      </c>
      <c r="T240" s="51">
        <f t="shared" si="146"/>
        <v>-28320</v>
      </c>
      <c r="U240" s="51">
        <f t="shared" si="146"/>
        <v>-31440</v>
      </c>
      <c r="V240" s="51">
        <f t="shared" si="146"/>
        <v>-24960</v>
      </c>
      <c r="W240" s="51">
        <f t="shared" si="146"/>
        <v>-21840</v>
      </c>
      <c r="X240" s="51">
        <f t="shared" si="146"/>
        <v>-17280</v>
      </c>
      <c r="Y240" s="51">
        <f t="shared" si="146"/>
        <v>-17280</v>
      </c>
      <c r="Z240" s="51">
        <f t="shared" si="146"/>
        <v>-18720</v>
      </c>
      <c r="AA240" s="51">
        <f t="shared" si="146"/>
        <v>-31440</v>
      </c>
      <c r="AB240" s="51">
        <f t="shared" si="146"/>
        <v>-34320</v>
      </c>
      <c r="AC240" s="51">
        <f t="shared" si="146"/>
        <v>-39120</v>
      </c>
      <c r="AD240" s="51">
        <f t="shared" si="146"/>
        <v>-47040</v>
      </c>
      <c r="AE240" s="10"/>
      <c r="AF240" s="10"/>
      <c r="AG240" s="10"/>
      <c r="AH240" s="10"/>
      <c r="AI240" s="10"/>
      <c r="AJ240" s="10"/>
      <c r="AK240" s="10"/>
      <c r="AL240" s="10"/>
      <c r="AM240" s="10"/>
    </row>
    <row r="241" spans="1:39" ht="15.75" hidden="1" customHeight="1" outlineLevel="1" x14ac:dyDescent="0.2">
      <c r="A241" s="16"/>
      <c r="B241" s="46" t="s">
        <v>52</v>
      </c>
      <c r="C241" s="82">
        <v>90</v>
      </c>
      <c r="D241" s="51">
        <f t="shared" ref="D241:AD241" si="147">-D73*$C241</f>
        <v>-540</v>
      </c>
      <c r="E241" s="51">
        <f t="shared" si="147"/>
        <v>-1170</v>
      </c>
      <c r="F241" s="51">
        <f t="shared" si="147"/>
        <v>-1800</v>
      </c>
      <c r="G241" s="51">
        <f t="shared" si="147"/>
        <v>-2970</v>
      </c>
      <c r="H241" s="51">
        <f t="shared" si="147"/>
        <v>-2970</v>
      </c>
      <c r="I241" s="51">
        <f t="shared" si="147"/>
        <v>-4680</v>
      </c>
      <c r="J241" s="51">
        <f t="shared" si="147"/>
        <v>-4140</v>
      </c>
      <c r="K241" s="51">
        <f t="shared" si="147"/>
        <v>-3510</v>
      </c>
      <c r="L241" s="51">
        <f t="shared" si="147"/>
        <v>-2970</v>
      </c>
      <c r="M241" s="51">
        <f t="shared" si="147"/>
        <v>-2970</v>
      </c>
      <c r="N241" s="51">
        <f t="shared" si="147"/>
        <v>-3510</v>
      </c>
      <c r="O241" s="51">
        <f t="shared" si="147"/>
        <v>-4680</v>
      </c>
      <c r="P241" s="51">
        <f t="shared" si="147"/>
        <v>-5850</v>
      </c>
      <c r="Q241" s="51">
        <f t="shared" si="147"/>
        <v>-7020</v>
      </c>
      <c r="R241" s="51">
        <f t="shared" si="147"/>
        <v>-9360</v>
      </c>
      <c r="S241" s="51">
        <f t="shared" si="147"/>
        <v>-8820</v>
      </c>
      <c r="T241" s="51">
        <f t="shared" si="147"/>
        <v>-10620</v>
      </c>
      <c r="U241" s="51">
        <f t="shared" si="147"/>
        <v>-11790</v>
      </c>
      <c r="V241" s="51">
        <f t="shared" si="147"/>
        <v>-9360</v>
      </c>
      <c r="W241" s="51">
        <f t="shared" si="147"/>
        <v>-8190</v>
      </c>
      <c r="X241" s="51">
        <f t="shared" si="147"/>
        <v>-6480</v>
      </c>
      <c r="Y241" s="51">
        <f t="shared" si="147"/>
        <v>-6480</v>
      </c>
      <c r="Z241" s="51">
        <f t="shared" si="147"/>
        <v>-7020</v>
      </c>
      <c r="AA241" s="51">
        <f t="shared" si="147"/>
        <v>-11790</v>
      </c>
      <c r="AB241" s="51">
        <f t="shared" si="147"/>
        <v>-12870</v>
      </c>
      <c r="AC241" s="51">
        <f t="shared" si="147"/>
        <v>-14670</v>
      </c>
      <c r="AD241" s="51">
        <f t="shared" si="147"/>
        <v>-17640</v>
      </c>
      <c r="AE241" s="10"/>
      <c r="AF241" s="10"/>
      <c r="AG241" s="10"/>
      <c r="AH241" s="10"/>
      <c r="AI241" s="10"/>
      <c r="AJ241" s="10"/>
      <c r="AK241" s="10"/>
      <c r="AL241" s="10"/>
      <c r="AM241" s="10"/>
    </row>
    <row r="242" spans="1:39" ht="15.75" hidden="1" customHeight="1" outlineLevel="1" x14ac:dyDescent="0.2">
      <c r="A242" s="16"/>
      <c r="B242" s="83" t="s">
        <v>53</v>
      </c>
      <c r="C242" s="55">
        <v>0.1</v>
      </c>
      <c r="D242" s="51">
        <f t="shared" ref="D242:AD242" si="148">-D65*$C242</f>
        <v>-1224</v>
      </c>
      <c r="E242" s="51">
        <f t="shared" si="148"/>
        <v>-2652</v>
      </c>
      <c r="F242" s="51">
        <f t="shared" si="148"/>
        <v>-4349.2800000000007</v>
      </c>
      <c r="G242" s="51">
        <f t="shared" si="148"/>
        <v>-7315.44</v>
      </c>
      <c r="H242" s="51">
        <f t="shared" si="148"/>
        <v>-7688.8415999999997</v>
      </c>
      <c r="I242" s="51">
        <f t="shared" si="148"/>
        <v>-12217.396800000002</v>
      </c>
      <c r="J242" s="51">
        <f t="shared" si="148"/>
        <v>-11075.545152000001</v>
      </c>
      <c r="K242" s="51">
        <f t="shared" si="148"/>
        <v>-10643.827296000001</v>
      </c>
      <c r="L242" s="51">
        <f t="shared" si="148"/>
        <v>-9168.6199334400008</v>
      </c>
      <c r="M242" s="51">
        <f t="shared" si="148"/>
        <v>-9073.6420051200002</v>
      </c>
      <c r="N242" s="51">
        <f t="shared" si="148"/>
        <v>-9973.096385356801</v>
      </c>
      <c r="O242" s="51">
        <f t="shared" si="148"/>
        <v>-12604.2012411264</v>
      </c>
      <c r="P242" s="51">
        <f t="shared" si="148"/>
        <v>-15454.081204778495</v>
      </c>
      <c r="Q242" s="51">
        <f t="shared" si="148"/>
        <v>-18684.924273047811</v>
      </c>
      <c r="R242" s="51">
        <f t="shared" si="148"/>
        <v>-24615.897865051273</v>
      </c>
      <c r="S242" s="51">
        <f t="shared" si="148"/>
        <v>-24102.683340070522</v>
      </c>
      <c r="T242" s="51">
        <f t="shared" si="148"/>
        <v>-29487.497530311277</v>
      </c>
      <c r="U242" s="51">
        <f t="shared" si="148"/>
        <v>-32026.590334815515</v>
      </c>
      <c r="V242" s="51">
        <f t="shared" si="148"/>
        <v>-27703.249456668484</v>
      </c>
      <c r="W242" s="51">
        <f t="shared" si="148"/>
        <v>-25609.849873659416</v>
      </c>
      <c r="X242" s="51">
        <f t="shared" si="148"/>
        <v>-20782.714880467069</v>
      </c>
      <c r="Y242" s="51">
        <f t="shared" si="148"/>
        <v>-20322.166972205072</v>
      </c>
      <c r="Z242" s="51">
        <f t="shared" si="148"/>
        <v>-20484.197273702757</v>
      </c>
      <c r="AA242" s="51">
        <f t="shared" si="148"/>
        <v>-31194.876733885118</v>
      </c>
      <c r="AB242" s="51">
        <f t="shared" si="148"/>
        <v>-33678.52340021461</v>
      </c>
      <c r="AC242" s="51">
        <f t="shared" si="148"/>
        <v>-40114.872881454736</v>
      </c>
      <c r="AD242" s="51">
        <f t="shared" si="148"/>
        <v>-47393.275148047214</v>
      </c>
      <c r="AE242" s="10"/>
      <c r="AF242" s="10"/>
      <c r="AG242" s="10"/>
      <c r="AH242" s="10"/>
      <c r="AI242" s="10"/>
      <c r="AJ242" s="10"/>
      <c r="AK242" s="10"/>
      <c r="AL242" s="10"/>
      <c r="AM242" s="10"/>
    </row>
    <row r="243" spans="1:39" ht="15.75" hidden="1" customHeight="1" outlineLevel="1" x14ac:dyDescent="0.2">
      <c r="A243" s="16"/>
      <c r="B243" s="46" t="s">
        <v>54</v>
      </c>
      <c r="C243" s="50">
        <v>80</v>
      </c>
      <c r="D243" s="51">
        <f t="shared" ref="D243:AD243" si="149">-D73*$C243</f>
        <v>-480</v>
      </c>
      <c r="E243" s="51">
        <f t="shared" si="149"/>
        <v>-1040</v>
      </c>
      <c r="F243" s="51">
        <f t="shared" si="149"/>
        <v>-1600</v>
      </c>
      <c r="G243" s="51">
        <f t="shared" si="149"/>
        <v>-2640</v>
      </c>
      <c r="H243" s="51">
        <f t="shared" si="149"/>
        <v>-2640</v>
      </c>
      <c r="I243" s="51">
        <f t="shared" si="149"/>
        <v>-4160</v>
      </c>
      <c r="J243" s="51">
        <f t="shared" si="149"/>
        <v>-3680</v>
      </c>
      <c r="K243" s="51">
        <f t="shared" si="149"/>
        <v>-3120</v>
      </c>
      <c r="L243" s="51">
        <f t="shared" si="149"/>
        <v>-2640</v>
      </c>
      <c r="M243" s="51">
        <f t="shared" si="149"/>
        <v>-2640</v>
      </c>
      <c r="N243" s="51">
        <f t="shared" si="149"/>
        <v>-3120</v>
      </c>
      <c r="O243" s="51">
        <f t="shared" si="149"/>
        <v>-4160</v>
      </c>
      <c r="P243" s="51">
        <f t="shared" si="149"/>
        <v>-5200</v>
      </c>
      <c r="Q243" s="51">
        <f t="shared" si="149"/>
        <v>-6240</v>
      </c>
      <c r="R243" s="51">
        <f t="shared" si="149"/>
        <v>-8320</v>
      </c>
      <c r="S243" s="51">
        <f t="shared" si="149"/>
        <v>-7840</v>
      </c>
      <c r="T243" s="51">
        <f t="shared" si="149"/>
        <v>-9440</v>
      </c>
      <c r="U243" s="51">
        <f t="shared" si="149"/>
        <v>-10480</v>
      </c>
      <c r="V243" s="51">
        <f t="shared" si="149"/>
        <v>-8320</v>
      </c>
      <c r="W243" s="51">
        <f t="shared" si="149"/>
        <v>-7280</v>
      </c>
      <c r="X243" s="51">
        <f t="shared" si="149"/>
        <v>-5760</v>
      </c>
      <c r="Y243" s="51">
        <f t="shared" si="149"/>
        <v>-5760</v>
      </c>
      <c r="Z243" s="51">
        <f t="shared" si="149"/>
        <v>-6240</v>
      </c>
      <c r="AA243" s="51">
        <f t="shared" si="149"/>
        <v>-10480</v>
      </c>
      <c r="AB243" s="51">
        <f t="shared" si="149"/>
        <v>-11440</v>
      </c>
      <c r="AC243" s="51">
        <f t="shared" si="149"/>
        <v>-13040</v>
      </c>
      <c r="AD243" s="51">
        <f t="shared" si="149"/>
        <v>-15680</v>
      </c>
      <c r="AE243" s="10"/>
      <c r="AF243" s="10"/>
      <c r="AG243" s="10"/>
      <c r="AH243" s="10"/>
      <c r="AI243" s="10"/>
      <c r="AJ243" s="10"/>
      <c r="AK243" s="10"/>
      <c r="AL243" s="10"/>
      <c r="AM243" s="10"/>
    </row>
    <row r="244" spans="1:39" ht="15.75" customHeight="1" collapsed="1" x14ac:dyDescent="0.25">
      <c r="A244" s="84"/>
      <c r="B244" s="541" t="s">
        <v>440</v>
      </c>
      <c r="C244" s="85"/>
      <c r="D244" s="86">
        <f t="shared" ref="D244:AD244" si="150">SUM(D245:D249)</f>
        <v>-8520</v>
      </c>
      <c r="E244" s="86">
        <f t="shared" si="150"/>
        <v>-18460</v>
      </c>
      <c r="F244" s="86">
        <f t="shared" si="150"/>
        <v>-29231.599999999999</v>
      </c>
      <c r="G244" s="86">
        <f t="shared" si="150"/>
        <v>-48661.8</v>
      </c>
      <c r="H244" s="86">
        <f t="shared" si="150"/>
        <v>-49814.952000000005</v>
      </c>
      <c r="I244" s="86">
        <f t="shared" si="150"/>
        <v>-78810.196000000011</v>
      </c>
      <c r="J244" s="86">
        <f t="shared" si="150"/>
        <v>-70543.889439999999</v>
      </c>
      <c r="K244" s="86">
        <f t="shared" si="150"/>
        <v>-63680.643120000001</v>
      </c>
      <c r="L244" s="86">
        <f t="shared" si="150"/>
        <v>-54384.855676799998</v>
      </c>
      <c r="M244" s="86">
        <f t="shared" si="150"/>
        <v>-54091.541486400005</v>
      </c>
      <c r="N244" s="86">
        <f t="shared" si="150"/>
        <v>-61609.268248896005</v>
      </c>
      <c r="O244" s="86">
        <f t="shared" si="150"/>
        <v>-80004.739127008012</v>
      </c>
      <c r="P244" s="86">
        <f t="shared" si="150"/>
        <v>-99075.839014757119</v>
      </c>
      <c r="Q244" s="86">
        <f t="shared" si="150"/>
        <v>-119323.44260794176</v>
      </c>
      <c r="R244" s="86">
        <f t="shared" si="150"/>
        <v>-158179.68458324659</v>
      </c>
      <c r="S244" s="86">
        <f t="shared" si="150"/>
        <v>-151854.75737374718</v>
      </c>
      <c r="T244" s="86">
        <f t="shared" si="150"/>
        <v>-184284.33060831425</v>
      </c>
      <c r="U244" s="86">
        <f t="shared" si="150"/>
        <v>-202395.64662222436</v>
      </c>
      <c r="V244" s="86">
        <f t="shared" si="150"/>
        <v>-167714.15273382916</v>
      </c>
      <c r="W244" s="86">
        <f t="shared" si="150"/>
        <v>-150979.24225688938</v>
      </c>
      <c r="X244" s="86">
        <f t="shared" si="150"/>
        <v>-121061.91360144241</v>
      </c>
      <c r="Y244" s="86">
        <f t="shared" si="150"/>
        <v>-119639.63329651568</v>
      </c>
      <c r="Z244" s="86">
        <f t="shared" si="150"/>
        <v>-124880.02099231734</v>
      </c>
      <c r="AA244" s="86">
        <f t="shared" si="150"/>
        <v>-199827.11932523345</v>
      </c>
      <c r="AB244" s="86">
        <f t="shared" si="150"/>
        <v>-216977.20461830983</v>
      </c>
      <c r="AC244" s="86">
        <f t="shared" si="150"/>
        <v>-252654.16625155139</v>
      </c>
      <c r="AD244" s="86">
        <f t="shared" si="150"/>
        <v>-301201.58501602814</v>
      </c>
      <c r="AE244" s="87"/>
      <c r="AF244" s="87"/>
      <c r="AG244" s="87"/>
      <c r="AH244" s="87"/>
      <c r="AI244" s="87"/>
      <c r="AJ244" s="87"/>
      <c r="AK244" s="87"/>
      <c r="AL244" s="87"/>
      <c r="AM244" s="87"/>
    </row>
    <row r="245" spans="1:39" ht="15.75" hidden="1" customHeight="1" outlineLevel="1" x14ac:dyDescent="0.2">
      <c r="A245" s="16"/>
      <c r="B245" s="46" t="s">
        <v>50</v>
      </c>
      <c r="C245" s="55">
        <v>0.05</v>
      </c>
      <c r="D245" s="51">
        <f t="shared" ref="D245:AD245" si="151">-D77*$C245</f>
        <v>-1260</v>
      </c>
      <c r="E245" s="51">
        <f t="shared" si="151"/>
        <v>-2730</v>
      </c>
      <c r="F245" s="51">
        <f t="shared" si="151"/>
        <v>-4477.2</v>
      </c>
      <c r="G245" s="51">
        <f t="shared" si="151"/>
        <v>-7530.6</v>
      </c>
      <c r="H245" s="51">
        <f t="shared" si="151"/>
        <v>-7914.9840000000004</v>
      </c>
      <c r="I245" s="51">
        <f t="shared" si="151"/>
        <v>-12576.732000000002</v>
      </c>
      <c r="J245" s="51">
        <f t="shared" si="151"/>
        <v>-11401.296480000001</v>
      </c>
      <c r="K245" s="51">
        <f t="shared" si="151"/>
        <v>-10956.88104</v>
      </c>
      <c r="L245" s="51">
        <f t="shared" si="151"/>
        <v>-9438.2852256000006</v>
      </c>
      <c r="M245" s="51">
        <f t="shared" si="151"/>
        <v>-9340.5138287999998</v>
      </c>
      <c r="N245" s="51">
        <f t="shared" si="151"/>
        <v>-10266.422749632002</v>
      </c>
      <c r="O245" s="51">
        <f t="shared" si="151"/>
        <v>-12974.913042336002</v>
      </c>
      <c r="P245" s="51">
        <f t="shared" si="151"/>
        <v>-15908.61300491904</v>
      </c>
      <c r="Q245" s="51">
        <f t="shared" si="151"/>
        <v>-19234.48086931392</v>
      </c>
      <c r="R245" s="51">
        <f t="shared" si="151"/>
        <v>-25339.894861082194</v>
      </c>
      <c r="S245" s="51">
        <f t="shared" si="151"/>
        <v>-24811.585791249065</v>
      </c>
      <c r="T245" s="51">
        <f t="shared" si="151"/>
        <v>-30354.776869438079</v>
      </c>
      <c r="U245" s="51">
        <f t="shared" si="151"/>
        <v>-32968.54887407479</v>
      </c>
      <c r="V245" s="51">
        <f t="shared" si="151"/>
        <v>-28518.050911276383</v>
      </c>
      <c r="W245" s="51">
        <f t="shared" si="151"/>
        <v>-26363.080752296457</v>
      </c>
      <c r="X245" s="51">
        <f t="shared" si="151"/>
        <v>-21393.971200480806</v>
      </c>
      <c r="Y245" s="51">
        <f t="shared" si="151"/>
        <v>-20919.877765505225</v>
      </c>
      <c r="Z245" s="51">
        <f t="shared" si="151"/>
        <v>-21086.67366410578</v>
      </c>
      <c r="AA245" s="51">
        <f t="shared" si="151"/>
        <v>-32112.37310841115</v>
      </c>
      <c r="AB245" s="51">
        <f t="shared" si="151"/>
        <v>-34669.068206103271</v>
      </c>
      <c r="AC245" s="51">
        <f t="shared" si="151"/>
        <v>-41294.722083850458</v>
      </c>
      <c r="AD245" s="51">
        <f t="shared" si="151"/>
        <v>-48787.195005342721</v>
      </c>
      <c r="AE245" s="10"/>
      <c r="AF245" s="10"/>
      <c r="AG245" s="10"/>
      <c r="AH245" s="10"/>
      <c r="AI245" s="10"/>
      <c r="AJ245" s="10"/>
      <c r="AK245" s="10"/>
      <c r="AL245" s="10"/>
      <c r="AM245" s="10"/>
    </row>
    <row r="246" spans="1:39" ht="15.75" hidden="1" customHeight="1" outlineLevel="1" x14ac:dyDescent="0.2">
      <c r="A246" s="16"/>
      <c r="B246" s="81" t="s">
        <v>51</v>
      </c>
      <c r="C246" s="50">
        <v>600</v>
      </c>
      <c r="D246" s="51">
        <f t="shared" ref="D246:AD246" si="152">-D85*$C246</f>
        <v>-3600</v>
      </c>
      <c r="E246" s="51">
        <f t="shared" si="152"/>
        <v>-7800</v>
      </c>
      <c r="F246" s="51">
        <f t="shared" si="152"/>
        <v>-12000</v>
      </c>
      <c r="G246" s="51">
        <f t="shared" si="152"/>
        <v>-19800</v>
      </c>
      <c r="H246" s="51">
        <f t="shared" si="152"/>
        <v>-19800</v>
      </c>
      <c r="I246" s="51">
        <f t="shared" si="152"/>
        <v>-31200</v>
      </c>
      <c r="J246" s="51">
        <f t="shared" si="152"/>
        <v>-27600</v>
      </c>
      <c r="K246" s="51">
        <f t="shared" si="152"/>
        <v>-23400</v>
      </c>
      <c r="L246" s="51">
        <f t="shared" si="152"/>
        <v>-19800</v>
      </c>
      <c r="M246" s="51">
        <f t="shared" si="152"/>
        <v>-19800</v>
      </c>
      <c r="N246" s="51">
        <f t="shared" si="152"/>
        <v>-23400</v>
      </c>
      <c r="O246" s="51">
        <f t="shared" si="152"/>
        <v>-31200</v>
      </c>
      <c r="P246" s="51">
        <f t="shared" si="152"/>
        <v>-39000</v>
      </c>
      <c r="Q246" s="51">
        <f t="shared" si="152"/>
        <v>-46800</v>
      </c>
      <c r="R246" s="51">
        <f t="shared" si="152"/>
        <v>-62400</v>
      </c>
      <c r="S246" s="51">
        <f t="shared" si="152"/>
        <v>-58800</v>
      </c>
      <c r="T246" s="51">
        <f t="shared" si="152"/>
        <v>-70800</v>
      </c>
      <c r="U246" s="51">
        <f t="shared" si="152"/>
        <v>-78600</v>
      </c>
      <c r="V246" s="51">
        <f t="shared" si="152"/>
        <v>-62400</v>
      </c>
      <c r="W246" s="51">
        <f t="shared" si="152"/>
        <v>-54600</v>
      </c>
      <c r="X246" s="51">
        <f t="shared" si="152"/>
        <v>-43200</v>
      </c>
      <c r="Y246" s="51">
        <f t="shared" si="152"/>
        <v>-43200</v>
      </c>
      <c r="Z246" s="51">
        <f t="shared" si="152"/>
        <v>-46800</v>
      </c>
      <c r="AA246" s="51">
        <f t="shared" si="152"/>
        <v>-78600</v>
      </c>
      <c r="AB246" s="51">
        <f t="shared" si="152"/>
        <v>-85800</v>
      </c>
      <c r="AC246" s="51">
        <f t="shared" si="152"/>
        <v>-97800</v>
      </c>
      <c r="AD246" s="51">
        <f t="shared" si="152"/>
        <v>-117600</v>
      </c>
      <c r="AE246" s="10"/>
      <c r="AF246" s="10"/>
      <c r="AG246" s="10"/>
      <c r="AH246" s="10"/>
      <c r="AI246" s="10"/>
      <c r="AJ246" s="10"/>
      <c r="AK246" s="10"/>
      <c r="AL246" s="10"/>
      <c r="AM246" s="10"/>
    </row>
    <row r="247" spans="1:39" ht="15.75" hidden="1" customHeight="1" outlineLevel="1" x14ac:dyDescent="0.2">
      <c r="A247" s="16"/>
      <c r="B247" s="46" t="s">
        <v>52</v>
      </c>
      <c r="C247" s="82">
        <v>90</v>
      </c>
      <c r="D247" s="51">
        <f t="shared" ref="D247:AD247" si="153">-D85*$C247</f>
        <v>-540</v>
      </c>
      <c r="E247" s="51">
        <f t="shared" si="153"/>
        <v>-1170</v>
      </c>
      <c r="F247" s="51">
        <f t="shared" si="153"/>
        <v>-1800</v>
      </c>
      <c r="G247" s="51">
        <f t="shared" si="153"/>
        <v>-2970</v>
      </c>
      <c r="H247" s="51">
        <f t="shared" si="153"/>
        <v>-2970</v>
      </c>
      <c r="I247" s="51">
        <f t="shared" si="153"/>
        <v>-4680</v>
      </c>
      <c r="J247" s="51">
        <f t="shared" si="153"/>
        <v>-4140</v>
      </c>
      <c r="K247" s="51">
        <f t="shared" si="153"/>
        <v>-3510</v>
      </c>
      <c r="L247" s="51">
        <f t="shared" si="153"/>
        <v>-2970</v>
      </c>
      <c r="M247" s="51">
        <f t="shared" si="153"/>
        <v>-2970</v>
      </c>
      <c r="N247" s="51">
        <f t="shared" si="153"/>
        <v>-3510</v>
      </c>
      <c r="O247" s="51">
        <f t="shared" si="153"/>
        <v>-4680</v>
      </c>
      <c r="P247" s="51">
        <f t="shared" si="153"/>
        <v>-5850</v>
      </c>
      <c r="Q247" s="51">
        <f t="shared" si="153"/>
        <v>-7020</v>
      </c>
      <c r="R247" s="51">
        <f t="shared" si="153"/>
        <v>-9360</v>
      </c>
      <c r="S247" s="51">
        <f t="shared" si="153"/>
        <v>-8820</v>
      </c>
      <c r="T247" s="51">
        <f t="shared" si="153"/>
        <v>-10620</v>
      </c>
      <c r="U247" s="51">
        <f t="shared" si="153"/>
        <v>-11790</v>
      </c>
      <c r="V247" s="51">
        <f t="shared" si="153"/>
        <v>-9360</v>
      </c>
      <c r="W247" s="51">
        <f t="shared" si="153"/>
        <v>-8190</v>
      </c>
      <c r="X247" s="51">
        <f t="shared" si="153"/>
        <v>-6480</v>
      </c>
      <c r="Y247" s="51">
        <f t="shared" si="153"/>
        <v>-6480</v>
      </c>
      <c r="Z247" s="51">
        <f t="shared" si="153"/>
        <v>-7020</v>
      </c>
      <c r="AA247" s="51">
        <f t="shared" si="153"/>
        <v>-11790</v>
      </c>
      <c r="AB247" s="51">
        <f t="shared" si="153"/>
        <v>-12870</v>
      </c>
      <c r="AC247" s="51">
        <f t="shared" si="153"/>
        <v>-14670</v>
      </c>
      <c r="AD247" s="51">
        <f t="shared" si="153"/>
        <v>-17640</v>
      </c>
      <c r="AE247" s="10"/>
      <c r="AF247" s="10"/>
      <c r="AG247" s="10"/>
      <c r="AH247" s="10"/>
      <c r="AI247" s="10"/>
      <c r="AJ247" s="10"/>
      <c r="AK247" s="10"/>
      <c r="AL247" s="10"/>
      <c r="AM247" s="10"/>
    </row>
    <row r="248" spans="1:39" ht="15.75" hidden="1" customHeight="1" outlineLevel="1" x14ac:dyDescent="0.2">
      <c r="A248" s="16"/>
      <c r="B248" s="83" t="s">
        <v>53</v>
      </c>
      <c r="C248" s="55">
        <v>0.1</v>
      </c>
      <c r="D248" s="51">
        <f t="shared" ref="D248:AD248" si="154">-D77*$C248</f>
        <v>-2520</v>
      </c>
      <c r="E248" s="51">
        <f t="shared" si="154"/>
        <v>-5460</v>
      </c>
      <c r="F248" s="51">
        <f t="shared" si="154"/>
        <v>-8954.4</v>
      </c>
      <c r="G248" s="51">
        <f t="shared" si="154"/>
        <v>-15061.2</v>
      </c>
      <c r="H248" s="51">
        <f t="shared" si="154"/>
        <v>-15829.968000000001</v>
      </c>
      <c r="I248" s="51">
        <f t="shared" si="154"/>
        <v>-25153.464000000004</v>
      </c>
      <c r="J248" s="51">
        <f t="shared" si="154"/>
        <v>-22802.592960000002</v>
      </c>
      <c r="K248" s="51">
        <f t="shared" si="154"/>
        <v>-21913.76208</v>
      </c>
      <c r="L248" s="51">
        <f t="shared" si="154"/>
        <v>-18876.570451200001</v>
      </c>
      <c r="M248" s="51">
        <f t="shared" si="154"/>
        <v>-18681.0276576</v>
      </c>
      <c r="N248" s="51">
        <f t="shared" si="154"/>
        <v>-20532.845499264004</v>
      </c>
      <c r="O248" s="51">
        <f t="shared" si="154"/>
        <v>-25949.826084672004</v>
      </c>
      <c r="P248" s="51">
        <f t="shared" si="154"/>
        <v>-31817.226009838079</v>
      </c>
      <c r="Q248" s="51">
        <f t="shared" si="154"/>
        <v>-38468.961738627841</v>
      </c>
      <c r="R248" s="51">
        <f t="shared" si="154"/>
        <v>-50679.789722164387</v>
      </c>
      <c r="S248" s="51">
        <f t="shared" si="154"/>
        <v>-49623.171582498129</v>
      </c>
      <c r="T248" s="51">
        <f t="shared" si="154"/>
        <v>-60709.553738876159</v>
      </c>
      <c r="U248" s="51">
        <f t="shared" si="154"/>
        <v>-65937.097748149579</v>
      </c>
      <c r="V248" s="51">
        <f t="shared" si="154"/>
        <v>-57036.101822552766</v>
      </c>
      <c r="W248" s="51">
        <f t="shared" si="154"/>
        <v>-52726.161504592914</v>
      </c>
      <c r="X248" s="51">
        <f t="shared" si="154"/>
        <v>-42787.942400961612</v>
      </c>
      <c r="Y248" s="51">
        <f t="shared" si="154"/>
        <v>-41839.755531010451</v>
      </c>
      <c r="Z248" s="51">
        <f t="shared" si="154"/>
        <v>-42173.347328211559</v>
      </c>
      <c r="AA248" s="51">
        <f t="shared" si="154"/>
        <v>-64224.746216822299</v>
      </c>
      <c r="AB248" s="51">
        <f t="shared" si="154"/>
        <v>-69338.136412206542</v>
      </c>
      <c r="AC248" s="51">
        <f t="shared" si="154"/>
        <v>-82589.444167700916</v>
      </c>
      <c r="AD248" s="51">
        <f t="shared" si="154"/>
        <v>-97574.390010685442</v>
      </c>
      <c r="AE248" s="10"/>
      <c r="AF248" s="10"/>
      <c r="AG248" s="10"/>
      <c r="AH248" s="10"/>
      <c r="AI248" s="10"/>
      <c r="AJ248" s="10"/>
      <c r="AK248" s="10"/>
      <c r="AL248" s="10"/>
      <c r="AM248" s="10"/>
    </row>
    <row r="249" spans="1:39" ht="15.75" hidden="1" customHeight="1" outlineLevel="1" x14ac:dyDescent="0.2">
      <c r="A249" s="16"/>
      <c r="B249" s="46" t="s">
        <v>54</v>
      </c>
      <c r="C249" s="50">
        <v>100</v>
      </c>
      <c r="D249" s="51">
        <f t="shared" ref="D249:AD249" si="155">-D85*$C249</f>
        <v>-600</v>
      </c>
      <c r="E249" s="51">
        <f t="shared" si="155"/>
        <v>-1300</v>
      </c>
      <c r="F249" s="51">
        <f t="shared" si="155"/>
        <v>-2000</v>
      </c>
      <c r="G249" s="51">
        <f t="shared" si="155"/>
        <v>-3300</v>
      </c>
      <c r="H249" s="51">
        <f t="shared" si="155"/>
        <v>-3300</v>
      </c>
      <c r="I249" s="51">
        <f t="shared" si="155"/>
        <v>-5200</v>
      </c>
      <c r="J249" s="51">
        <f t="shared" si="155"/>
        <v>-4600</v>
      </c>
      <c r="K249" s="51">
        <f t="shared" si="155"/>
        <v>-3900</v>
      </c>
      <c r="L249" s="51">
        <f t="shared" si="155"/>
        <v>-3300</v>
      </c>
      <c r="M249" s="51">
        <f t="shared" si="155"/>
        <v>-3300</v>
      </c>
      <c r="N249" s="51">
        <f t="shared" si="155"/>
        <v>-3900</v>
      </c>
      <c r="O249" s="51">
        <f t="shared" si="155"/>
        <v>-5200</v>
      </c>
      <c r="P249" s="51">
        <f t="shared" si="155"/>
        <v>-6500</v>
      </c>
      <c r="Q249" s="51">
        <f t="shared" si="155"/>
        <v>-7800</v>
      </c>
      <c r="R249" s="51">
        <f t="shared" si="155"/>
        <v>-10400</v>
      </c>
      <c r="S249" s="51">
        <f t="shared" si="155"/>
        <v>-9800</v>
      </c>
      <c r="T249" s="51">
        <f t="shared" si="155"/>
        <v>-11800</v>
      </c>
      <c r="U249" s="51">
        <f t="shared" si="155"/>
        <v>-13100</v>
      </c>
      <c r="V249" s="51">
        <f t="shared" si="155"/>
        <v>-10400</v>
      </c>
      <c r="W249" s="51">
        <f t="shared" si="155"/>
        <v>-9100</v>
      </c>
      <c r="X249" s="51">
        <f t="shared" si="155"/>
        <v>-7200</v>
      </c>
      <c r="Y249" s="51">
        <f t="shared" si="155"/>
        <v>-7200</v>
      </c>
      <c r="Z249" s="51">
        <f t="shared" si="155"/>
        <v>-7800</v>
      </c>
      <c r="AA249" s="51">
        <f t="shared" si="155"/>
        <v>-13100</v>
      </c>
      <c r="AB249" s="51">
        <f t="shared" si="155"/>
        <v>-14300</v>
      </c>
      <c r="AC249" s="51">
        <f t="shared" si="155"/>
        <v>-16300</v>
      </c>
      <c r="AD249" s="51">
        <f t="shared" si="155"/>
        <v>-19600</v>
      </c>
      <c r="AE249" s="10"/>
      <c r="AF249" s="10"/>
      <c r="AG249" s="10"/>
      <c r="AH249" s="10"/>
      <c r="AI249" s="10"/>
      <c r="AJ249" s="10"/>
      <c r="AK249" s="10"/>
      <c r="AL249" s="10"/>
      <c r="AM249" s="10"/>
    </row>
    <row r="250" spans="1:39" ht="15.75" customHeight="1" x14ac:dyDescent="0.2">
      <c r="A250" s="18"/>
      <c r="B250" s="75" t="s">
        <v>55</v>
      </c>
      <c r="C250" s="76"/>
      <c r="D250" s="77">
        <f t="shared" ref="D250:AD250" si="156">D251+D257+D263+D269+D275+D281</f>
        <v>-18920</v>
      </c>
      <c r="E250" s="77">
        <f t="shared" si="156"/>
        <v>-37840</v>
      </c>
      <c r="F250" s="77">
        <f t="shared" si="156"/>
        <v>-47300</v>
      </c>
      <c r="G250" s="77">
        <f t="shared" si="156"/>
        <v>-85140</v>
      </c>
      <c r="H250" s="77">
        <f t="shared" si="156"/>
        <v>-85140</v>
      </c>
      <c r="I250" s="77">
        <f t="shared" si="156"/>
        <v>-132440</v>
      </c>
      <c r="J250" s="77">
        <f t="shared" si="156"/>
        <v>-122980</v>
      </c>
      <c r="K250" s="77">
        <f t="shared" si="156"/>
        <v>-104060</v>
      </c>
      <c r="L250" s="77">
        <f t="shared" si="156"/>
        <v>-85140</v>
      </c>
      <c r="M250" s="77">
        <f t="shared" si="156"/>
        <v>-85140</v>
      </c>
      <c r="N250" s="77">
        <f t="shared" si="156"/>
        <v>-104060</v>
      </c>
      <c r="O250" s="77">
        <f t="shared" si="156"/>
        <v>-132440</v>
      </c>
      <c r="P250" s="77">
        <f t="shared" si="156"/>
        <v>-170280</v>
      </c>
      <c r="Q250" s="77">
        <f t="shared" si="156"/>
        <v>-208120</v>
      </c>
      <c r="R250" s="77">
        <f t="shared" si="156"/>
        <v>-274340</v>
      </c>
      <c r="S250" s="77">
        <f t="shared" si="156"/>
        <v>-255420</v>
      </c>
      <c r="T250" s="77">
        <f t="shared" si="156"/>
        <v>-302720</v>
      </c>
      <c r="U250" s="77">
        <f t="shared" si="156"/>
        <v>-340560</v>
      </c>
      <c r="V250" s="77">
        <f t="shared" si="156"/>
        <v>-274340</v>
      </c>
      <c r="W250" s="77">
        <f t="shared" si="156"/>
        <v>-236500</v>
      </c>
      <c r="X250" s="77">
        <f t="shared" si="156"/>
        <v>-189200</v>
      </c>
      <c r="Y250" s="77">
        <f t="shared" si="156"/>
        <v>-189200</v>
      </c>
      <c r="Z250" s="77">
        <f t="shared" si="156"/>
        <v>-208120</v>
      </c>
      <c r="AA250" s="77">
        <f t="shared" si="156"/>
        <v>-340560</v>
      </c>
      <c r="AB250" s="77">
        <f t="shared" si="156"/>
        <v>-378400</v>
      </c>
      <c r="AC250" s="77">
        <f t="shared" si="156"/>
        <v>-425700</v>
      </c>
      <c r="AD250" s="77">
        <f t="shared" si="156"/>
        <v>-510840</v>
      </c>
      <c r="AE250" s="10"/>
      <c r="AF250" s="10"/>
      <c r="AG250" s="10"/>
      <c r="AH250" s="10"/>
      <c r="AI250" s="10"/>
      <c r="AJ250" s="10"/>
      <c r="AK250" s="10"/>
      <c r="AL250" s="10"/>
      <c r="AM250" s="10"/>
    </row>
    <row r="251" spans="1:39" ht="15.75" customHeight="1" collapsed="1" x14ac:dyDescent="0.25">
      <c r="A251" s="88"/>
      <c r="B251" s="541" t="s">
        <v>432</v>
      </c>
      <c r="C251" s="89"/>
      <c r="D251" s="80">
        <f t="shared" ref="D251:AD251" si="157">SUM(D252:D256)</f>
        <v>-2575</v>
      </c>
      <c r="E251" s="80">
        <f t="shared" si="157"/>
        <v>-5150</v>
      </c>
      <c r="F251" s="80">
        <f t="shared" si="157"/>
        <v>-6437.5</v>
      </c>
      <c r="G251" s="80">
        <f t="shared" si="157"/>
        <v>-11587.5</v>
      </c>
      <c r="H251" s="80">
        <f t="shared" si="157"/>
        <v>-11587.5</v>
      </c>
      <c r="I251" s="80">
        <f t="shared" si="157"/>
        <v>-18025</v>
      </c>
      <c r="J251" s="80">
        <f t="shared" si="157"/>
        <v>-16737.5</v>
      </c>
      <c r="K251" s="80">
        <f t="shared" si="157"/>
        <v>-14162.5</v>
      </c>
      <c r="L251" s="80">
        <f t="shared" si="157"/>
        <v>-11587.5</v>
      </c>
      <c r="M251" s="80">
        <f t="shared" si="157"/>
        <v>-11587.5</v>
      </c>
      <c r="N251" s="80">
        <f t="shared" si="157"/>
        <v>-14162.5</v>
      </c>
      <c r="O251" s="80">
        <f t="shared" si="157"/>
        <v>-18025</v>
      </c>
      <c r="P251" s="80">
        <f t="shared" si="157"/>
        <v>-23175</v>
      </c>
      <c r="Q251" s="80">
        <f t="shared" si="157"/>
        <v>-28325</v>
      </c>
      <c r="R251" s="80">
        <f t="shared" si="157"/>
        <v>-37337.5</v>
      </c>
      <c r="S251" s="80">
        <f t="shared" si="157"/>
        <v>-34762.5</v>
      </c>
      <c r="T251" s="80">
        <f t="shared" si="157"/>
        <v>-41200</v>
      </c>
      <c r="U251" s="80">
        <f t="shared" si="157"/>
        <v>-46350</v>
      </c>
      <c r="V251" s="80">
        <f t="shared" si="157"/>
        <v>-37337.5</v>
      </c>
      <c r="W251" s="80">
        <f t="shared" si="157"/>
        <v>-32187.5</v>
      </c>
      <c r="X251" s="80">
        <f t="shared" si="157"/>
        <v>-25750</v>
      </c>
      <c r="Y251" s="80">
        <f t="shared" si="157"/>
        <v>-25750</v>
      </c>
      <c r="Z251" s="80">
        <f t="shared" si="157"/>
        <v>-28325</v>
      </c>
      <c r="AA251" s="80">
        <f t="shared" si="157"/>
        <v>-46350</v>
      </c>
      <c r="AB251" s="80">
        <f t="shared" si="157"/>
        <v>-51500</v>
      </c>
      <c r="AC251" s="80">
        <f t="shared" si="157"/>
        <v>-57937.5</v>
      </c>
      <c r="AD251" s="80">
        <f t="shared" si="157"/>
        <v>-69525</v>
      </c>
      <c r="AE251" s="87"/>
      <c r="AF251" s="87"/>
      <c r="AG251" s="87"/>
      <c r="AH251" s="87"/>
      <c r="AI251" s="87"/>
      <c r="AJ251" s="87"/>
      <c r="AK251" s="87"/>
      <c r="AL251" s="87"/>
      <c r="AM251" s="87"/>
    </row>
    <row r="252" spans="1:39" ht="15.75" hidden="1" customHeight="1" outlineLevel="1" x14ac:dyDescent="0.2">
      <c r="A252" s="16"/>
      <c r="B252" s="46" t="s">
        <v>56</v>
      </c>
      <c r="C252" s="55">
        <v>0.4</v>
      </c>
      <c r="D252" s="51">
        <f t="shared" ref="D252:AD252" si="158">-D90*$C252</f>
        <v>-1700</v>
      </c>
      <c r="E252" s="51">
        <f t="shared" si="158"/>
        <v>-3400</v>
      </c>
      <c r="F252" s="51">
        <f t="shared" si="158"/>
        <v>-4250</v>
      </c>
      <c r="G252" s="51">
        <f t="shared" si="158"/>
        <v>-7650</v>
      </c>
      <c r="H252" s="51">
        <f t="shared" si="158"/>
        <v>-7650</v>
      </c>
      <c r="I252" s="51">
        <f t="shared" si="158"/>
        <v>-11900</v>
      </c>
      <c r="J252" s="51">
        <f t="shared" si="158"/>
        <v>-11050</v>
      </c>
      <c r="K252" s="51">
        <f t="shared" si="158"/>
        <v>-9350</v>
      </c>
      <c r="L252" s="51">
        <f t="shared" si="158"/>
        <v>-7650</v>
      </c>
      <c r="M252" s="51">
        <f t="shared" si="158"/>
        <v>-7650</v>
      </c>
      <c r="N252" s="51">
        <f t="shared" si="158"/>
        <v>-9350</v>
      </c>
      <c r="O252" s="51">
        <f t="shared" si="158"/>
        <v>-11900</v>
      </c>
      <c r="P252" s="51">
        <f t="shared" si="158"/>
        <v>-15300</v>
      </c>
      <c r="Q252" s="51">
        <f t="shared" si="158"/>
        <v>-18700</v>
      </c>
      <c r="R252" s="51">
        <f t="shared" si="158"/>
        <v>-24650</v>
      </c>
      <c r="S252" s="51">
        <f t="shared" si="158"/>
        <v>-22950</v>
      </c>
      <c r="T252" s="51">
        <f t="shared" si="158"/>
        <v>-27200</v>
      </c>
      <c r="U252" s="51">
        <f t="shared" si="158"/>
        <v>-30600</v>
      </c>
      <c r="V252" s="51">
        <f t="shared" si="158"/>
        <v>-24650</v>
      </c>
      <c r="W252" s="51">
        <f t="shared" si="158"/>
        <v>-21250</v>
      </c>
      <c r="X252" s="51">
        <f t="shared" si="158"/>
        <v>-17000</v>
      </c>
      <c r="Y252" s="51">
        <f t="shared" si="158"/>
        <v>-17000</v>
      </c>
      <c r="Z252" s="51">
        <f t="shared" si="158"/>
        <v>-18700</v>
      </c>
      <c r="AA252" s="51">
        <f t="shared" si="158"/>
        <v>-30600</v>
      </c>
      <c r="AB252" s="51">
        <f t="shared" si="158"/>
        <v>-34000</v>
      </c>
      <c r="AC252" s="51">
        <f t="shared" si="158"/>
        <v>-38250</v>
      </c>
      <c r="AD252" s="51">
        <f t="shared" si="158"/>
        <v>-45900</v>
      </c>
      <c r="AE252" s="10"/>
      <c r="AF252" s="10"/>
      <c r="AG252" s="10"/>
      <c r="AH252" s="10"/>
      <c r="AI252" s="10"/>
      <c r="AJ252" s="10"/>
      <c r="AK252" s="10"/>
      <c r="AL252" s="10"/>
      <c r="AM252" s="10"/>
    </row>
    <row r="253" spans="1:39" ht="15.75" hidden="1" customHeight="1" outlineLevel="1" x14ac:dyDescent="0.2">
      <c r="A253" s="48"/>
      <c r="B253" s="81" t="s">
        <v>51</v>
      </c>
      <c r="C253" s="50">
        <v>250</v>
      </c>
      <c r="D253" s="51">
        <f t="shared" ref="D253:AD253" si="159">-$C253*D98</f>
        <v>-500</v>
      </c>
      <c r="E253" s="51">
        <f t="shared" si="159"/>
        <v>-1000</v>
      </c>
      <c r="F253" s="51">
        <f t="shared" si="159"/>
        <v>-1250</v>
      </c>
      <c r="G253" s="51">
        <f t="shared" si="159"/>
        <v>-2250</v>
      </c>
      <c r="H253" s="51">
        <f t="shared" si="159"/>
        <v>-2250</v>
      </c>
      <c r="I253" s="51">
        <f t="shared" si="159"/>
        <v>-3500</v>
      </c>
      <c r="J253" s="51">
        <f t="shared" si="159"/>
        <v>-3250</v>
      </c>
      <c r="K253" s="51">
        <f t="shared" si="159"/>
        <v>-2750</v>
      </c>
      <c r="L253" s="51">
        <f t="shared" si="159"/>
        <v>-2250</v>
      </c>
      <c r="M253" s="51">
        <f t="shared" si="159"/>
        <v>-2250</v>
      </c>
      <c r="N253" s="51">
        <f t="shared" si="159"/>
        <v>-2750</v>
      </c>
      <c r="O253" s="51">
        <f t="shared" si="159"/>
        <v>-3500</v>
      </c>
      <c r="P253" s="51">
        <f t="shared" si="159"/>
        <v>-4500</v>
      </c>
      <c r="Q253" s="51">
        <f t="shared" si="159"/>
        <v>-5500</v>
      </c>
      <c r="R253" s="51">
        <f t="shared" si="159"/>
        <v>-7250</v>
      </c>
      <c r="S253" s="51">
        <f t="shared" si="159"/>
        <v>-6750</v>
      </c>
      <c r="T253" s="51">
        <f t="shared" si="159"/>
        <v>-8000</v>
      </c>
      <c r="U253" s="51">
        <f t="shared" si="159"/>
        <v>-9000</v>
      </c>
      <c r="V253" s="51">
        <f t="shared" si="159"/>
        <v>-7250</v>
      </c>
      <c r="W253" s="51">
        <f t="shared" si="159"/>
        <v>-6250</v>
      </c>
      <c r="X253" s="51">
        <f t="shared" si="159"/>
        <v>-5000</v>
      </c>
      <c r="Y253" s="51">
        <f t="shared" si="159"/>
        <v>-5000</v>
      </c>
      <c r="Z253" s="51">
        <f t="shared" si="159"/>
        <v>-5500</v>
      </c>
      <c r="AA253" s="51">
        <f t="shared" si="159"/>
        <v>-9000</v>
      </c>
      <c r="AB253" s="51">
        <f t="shared" si="159"/>
        <v>-10000</v>
      </c>
      <c r="AC253" s="51">
        <f t="shared" si="159"/>
        <v>-11250</v>
      </c>
      <c r="AD253" s="51">
        <f t="shared" si="159"/>
        <v>-13500</v>
      </c>
      <c r="AE253" s="10"/>
      <c r="AF253" s="10"/>
      <c r="AG253" s="10"/>
      <c r="AH253" s="10"/>
      <c r="AI253" s="10"/>
      <c r="AJ253" s="10"/>
      <c r="AK253" s="10"/>
      <c r="AL253" s="10"/>
      <c r="AM253" s="10"/>
    </row>
    <row r="254" spans="1:39" ht="15.75" hidden="1" customHeight="1" outlineLevel="1" x14ac:dyDescent="0.2">
      <c r="A254" s="48"/>
      <c r="B254" s="46" t="s">
        <v>52</v>
      </c>
      <c r="C254" s="55">
        <v>0.05</v>
      </c>
      <c r="D254" s="51">
        <f t="shared" ref="D254:AD254" si="160">-$C254*D90</f>
        <v>-212.5</v>
      </c>
      <c r="E254" s="51">
        <f t="shared" si="160"/>
        <v>-425</v>
      </c>
      <c r="F254" s="51">
        <f t="shared" si="160"/>
        <v>-531.25</v>
      </c>
      <c r="G254" s="51">
        <f t="shared" si="160"/>
        <v>-956.25</v>
      </c>
      <c r="H254" s="51">
        <f t="shared" si="160"/>
        <v>-956.25</v>
      </c>
      <c r="I254" s="51">
        <f t="shared" si="160"/>
        <v>-1487.5</v>
      </c>
      <c r="J254" s="51">
        <f t="shared" si="160"/>
        <v>-1381.25</v>
      </c>
      <c r="K254" s="51">
        <f t="shared" si="160"/>
        <v>-1168.75</v>
      </c>
      <c r="L254" s="51">
        <f t="shared" si="160"/>
        <v>-956.25</v>
      </c>
      <c r="M254" s="51">
        <f t="shared" si="160"/>
        <v>-956.25</v>
      </c>
      <c r="N254" s="51">
        <f t="shared" si="160"/>
        <v>-1168.75</v>
      </c>
      <c r="O254" s="51">
        <f t="shared" si="160"/>
        <v>-1487.5</v>
      </c>
      <c r="P254" s="51">
        <f t="shared" si="160"/>
        <v>-1912.5</v>
      </c>
      <c r="Q254" s="51">
        <f t="shared" si="160"/>
        <v>-2337.5</v>
      </c>
      <c r="R254" s="51">
        <f t="shared" si="160"/>
        <v>-3081.25</v>
      </c>
      <c r="S254" s="51">
        <f t="shared" si="160"/>
        <v>-2868.75</v>
      </c>
      <c r="T254" s="51">
        <f t="shared" si="160"/>
        <v>-3400</v>
      </c>
      <c r="U254" s="51">
        <f t="shared" si="160"/>
        <v>-3825</v>
      </c>
      <c r="V254" s="51">
        <f t="shared" si="160"/>
        <v>-3081.25</v>
      </c>
      <c r="W254" s="51">
        <f t="shared" si="160"/>
        <v>-2656.25</v>
      </c>
      <c r="X254" s="51">
        <f t="shared" si="160"/>
        <v>-2125</v>
      </c>
      <c r="Y254" s="51">
        <f t="shared" si="160"/>
        <v>-2125</v>
      </c>
      <c r="Z254" s="51">
        <f t="shared" si="160"/>
        <v>-2337.5</v>
      </c>
      <c r="AA254" s="51">
        <f t="shared" si="160"/>
        <v>-3825</v>
      </c>
      <c r="AB254" s="51">
        <f t="shared" si="160"/>
        <v>-4250</v>
      </c>
      <c r="AC254" s="51">
        <f t="shared" si="160"/>
        <v>-4781.25</v>
      </c>
      <c r="AD254" s="51">
        <f t="shared" si="160"/>
        <v>-5737.5</v>
      </c>
      <c r="AE254" s="10"/>
      <c r="AF254" s="10"/>
      <c r="AG254" s="10"/>
      <c r="AH254" s="10"/>
      <c r="AI254" s="10"/>
      <c r="AJ254" s="10"/>
      <c r="AK254" s="10"/>
      <c r="AL254" s="10"/>
      <c r="AM254" s="10"/>
    </row>
    <row r="255" spans="1:39" ht="15.75" hidden="1" customHeight="1" outlineLevel="1" x14ac:dyDescent="0.2">
      <c r="A255" s="16"/>
      <c r="B255" s="83" t="s">
        <v>57</v>
      </c>
      <c r="C255" s="55">
        <v>0.01</v>
      </c>
      <c r="D255" s="51">
        <f t="shared" ref="D255:AD255" si="161">-$C255*D90</f>
        <v>-42.5</v>
      </c>
      <c r="E255" s="51">
        <f t="shared" si="161"/>
        <v>-85</v>
      </c>
      <c r="F255" s="51">
        <f t="shared" si="161"/>
        <v>-106.25</v>
      </c>
      <c r="G255" s="51">
        <f t="shared" si="161"/>
        <v>-191.25</v>
      </c>
      <c r="H255" s="51">
        <f t="shared" si="161"/>
        <v>-191.25</v>
      </c>
      <c r="I255" s="51">
        <f t="shared" si="161"/>
        <v>-297.5</v>
      </c>
      <c r="J255" s="51">
        <f t="shared" si="161"/>
        <v>-276.25</v>
      </c>
      <c r="K255" s="51">
        <f t="shared" si="161"/>
        <v>-233.75</v>
      </c>
      <c r="L255" s="51">
        <f t="shared" si="161"/>
        <v>-191.25</v>
      </c>
      <c r="M255" s="51">
        <f t="shared" si="161"/>
        <v>-191.25</v>
      </c>
      <c r="N255" s="51">
        <f t="shared" si="161"/>
        <v>-233.75</v>
      </c>
      <c r="O255" s="51">
        <f t="shared" si="161"/>
        <v>-297.5</v>
      </c>
      <c r="P255" s="51">
        <f t="shared" si="161"/>
        <v>-382.5</v>
      </c>
      <c r="Q255" s="51">
        <f t="shared" si="161"/>
        <v>-467.5</v>
      </c>
      <c r="R255" s="51">
        <f t="shared" si="161"/>
        <v>-616.25</v>
      </c>
      <c r="S255" s="51">
        <f t="shared" si="161"/>
        <v>-573.75</v>
      </c>
      <c r="T255" s="51">
        <f t="shared" si="161"/>
        <v>-680</v>
      </c>
      <c r="U255" s="51">
        <f t="shared" si="161"/>
        <v>-765</v>
      </c>
      <c r="V255" s="51">
        <f t="shared" si="161"/>
        <v>-616.25</v>
      </c>
      <c r="W255" s="51">
        <f t="shared" si="161"/>
        <v>-531.25</v>
      </c>
      <c r="X255" s="51">
        <f t="shared" si="161"/>
        <v>-425</v>
      </c>
      <c r="Y255" s="51">
        <f t="shared" si="161"/>
        <v>-425</v>
      </c>
      <c r="Z255" s="51">
        <f t="shared" si="161"/>
        <v>-467.5</v>
      </c>
      <c r="AA255" s="51">
        <f t="shared" si="161"/>
        <v>-765</v>
      </c>
      <c r="AB255" s="51">
        <f t="shared" si="161"/>
        <v>-850</v>
      </c>
      <c r="AC255" s="51">
        <f t="shared" si="161"/>
        <v>-956.25</v>
      </c>
      <c r="AD255" s="51">
        <f t="shared" si="161"/>
        <v>-1147.5</v>
      </c>
      <c r="AE255" s="10"/>
      <c r="AF255" s="10"/>
      <c r="AG255" s="10"/>
      <c r="AH255" s="10"/>
      <c r="AI255" s="10"/>
      <c r="AJ255" s="10"/>
      <c r="AK255" s="10"/>
      <c r="AL255" s="10"/>
      <c r="AM255" s="10"/>
    </row>
    <row r="256" spans="1:39" ht="15.75" hidden="1" customHeight="1" outlineLevel="1" x14ac:dyDescent="0.2">
      <c r="A256" s="48"/>
      <c r="B256" s="46" t="s">
        <v>54</v>
      </c>
      <c r="C256" s="50">
        <v>60</v>
      </c>
      <c r="D256" s="51">
        <f t="shared" ref="D256:AD256" si="162">-$C256*D98</f>
        <v>-120</v>
      </c>
      <c r="E256" s="51">
        <f t="shared" si="162"/>
        <v>-240</v>
      </c>
      <c r="F256" s="51">
        <f t="shared" si="162"/>
        <v>-300</v>
      </c>
      <c r="G256" s="51">
        <f t="shared" si="162"/>
        <v>-540</v>
      </c>
      <c r="H256" s="51">
        <f t="shared" si="162"/>
        <v>-540</v>
      </c>
      <c r="I256" s="51">
        <f t="shared" si="162"/>
        <v>-840</v>
      </c>
      <c r="J256" s="51">
        <f t="shared" si="162"/>
        <v>-780</v>
      </c>
      <c r="K256" s="51">
        <f t="shared" si="162"/>
        <v>-660</v>
      </c>
      <c r="L256" s="51">
        <f t="shared" si="162"/>
        <v>-540</v>
      </c>
      <c r="M256" s="51">
        <f t="shared" si="162"/>
        <v>-540</v>
      </c>
      <c r="N256" s="51">
        <f t="shared" si="162"/>
        <v>-660</v>
      </c>
      <c r="O256" s="51">
        <f t="shared" si="162"/>
        <v>-840</v>
      </c>
      <c r="P256" s="51">
        <f t="shared" si="162"/>
        <v>-1080</v>
      </c>
      <c r="Q256" s="51">
        <f t="shared" si="162"/>
        <v>-1320</v>
      </c>
      <c r="R256" s="51">
        <f t="shared" si="162"/>
        <v>-1740</v>
      </c>
      <c r="S256" s="51">
        <f t="shared" si="162"/>
        <v>-1620</v>
      </c>
      <c r="T256" s="51">
        <f t="shared" si="162"/>
        <v>-1920</v>
      </c>
      <c r="U256" s="51">
        <f t="shared" si="162"/>
        <v>-2160</v>
      </c>
      <c r="V256" s="51">
        <f t="shared" si="162"/>
        <v>-1740</v>
      </c>
      <c r="W256" s="51">
        <f t="shared" si="162"/>
        <v>-1500</v>
      </c>
      <c r="X256" s="51">
        <f t="shared" si="162"/>
        <v>-1200</v>
      </c>
      <c r="Y256" s="51">
        <f t="shared" si="162"/>
        <v>-1200</v>
      </c>
      <c r="Z256" s="51">
        <f t="shared" si="162"/>
        <v>-1320</v>
      </c>
      <c r="AA256" s="51">
        <f t="shared" si="162"/>
        <v>-2160</v>
      </c>
      <c r="AB256" s="51">
        <f t="shared" si="162"/>
        <v>-2400</v>
      </c>
      <c r="AC256" s="51">
        <f t="shared" si="162"/>
        <v>-2700</v>
      </c>
      <c r="AD256" s="51">
        <f t="shared" si="162"/>
        <v>-3240</v>
      </c>
      <c r="AE256" s="10"/>
      <c r="AF256" s="10"/>
      <c r="AG256" s="10"/>
      <c r="AH256" s="10"/>
      <c r="AI256" s="10"/>
      <c r="AJ256" s="10"/>
      <c r="AK256" s="10"/>
      <c r="AL256" s="10"/>
      <c r="AM256" s="10"/>
    </row>
    <row r="257" spans="1:39" ht="16.5" customHeight="1" collapsed="1" x14ac:dyDescent="0.25">
      <c r="A257" s="90"/>
      <c r="B257" s="541" t="s">
        <v>433</v>
      </c>
      <c r="C257" s="89"/>
      <c r="D257" s="80">
        <f t="shared" ref="D257:AD257" si="163">SUM(D258:D262)</f>
        <v>-2575</v>
      </c>
      <c r="E257" s="80">
        <f t="shared" si="163"/>
        <v>-5150</v>
      </c>
      <c r="F257" s="80">
        <f t="shared" si="163"/>
        <v>-6437.5</v>
      </c>
      <c r="G257" s="80">
        <f t="shared" si="163"/>
        <v>-11587.5</v>
      </c>
      <c r="H257" s="80">
        <f t="shared" si="163"/>
        <v>-11587.5</v>
      </c>
      <c r="I257" s="80">
        <f t="shared" si="163"/>
        <v>-18025</v>
      </c>
      <c r="J257" s="80">
        <f t="shared" si="163"/>
        <v>-16737.5</v>
      </c>
      <c r="K257" s="80">
        <f t="shared" si="163"/>
        <v>-14162.5</v>
      </c>
      <c r="L257" s="80">
        <f t="shared" si="163"/>
        <v>-11587.5</v>
      </c>
      <c r="M257" s="80">
        <f t="shared" si="163"/>
        <v>-11587.5</v>
      </c>
      <c r="N257" s="80">
        <f t="shared" si="163"/>
        <v>-14162.5</v>
      </c>
      <c r="O257" s="80">
        <f t="shared" si="163"/>
        <v>-18025</v>
      </c>
      <c r="P257" s="80">
        <f t="shared" si="163"/>
        <v>-23175</v>
      </c>
      <c r="Q257" s="80">
        <f t="shared" si="163"/>
        <v>-28325</v>
      </c>
      <c r="R257" s="80">
        <f t="shared" si="163"/>
        <v>-37337.5</v>
      </c>
      <c r="S257" s="80">
        <f t="shared" si="163"/>
        <v>-34762.5</v>
      </c>
      <c r="T257" s="80">
        <f t="shared" si="163"/>
        <v>-41200</v>
      </c>
      <c r="U257" s="80">
        <f t="shared" si="163"/>
        <v>-46350</v>
      </c>
      <c r="V257" s="80">
        <f t="shared" si="163"/>
        <v>-37337.5</v>
      </c>
      <c r="W257" s="80">
        <f t="shared" si="163"/>
        <v>-32187.5</v>
      </c>
      <c r="X257" s="80">
        <f t="shared" si="163"/>
        <v>-25750</v>
      </c>
      <c r="Y257" s="80">
        <f t="shared" si="163"/>
        <v>-25750</v>
      </c>
      <c r="Z257" s="80">
        <f t="shared" si="163"/>
        <v>-28325</v>
      </c>
      <c r="AA257" s="80">
        <f t="shared" si="163"/>
        <v>-46350</v>
      </c>
      <c r="AB257" s="80">
        <f t="shared" si="163"/>
        <v>-51500</v>
      </c>
      <c r="AC257" s="80">
        <f t="shared" si="163"/>
        <v>-57937.5</v>
      </c>
      <c r="AD257" s="80">
        <f t="shared" si="163"/>
        <v>-69525</v>
      </c>
      <c r="AE257" s="87"/>
      <c r="AF257" s="87"/>
      <c r="AG257" s="87"/>
      <c r="AH257" s="87"/>
      <c r="AI257" s="87"/>
      <c r="AJ257" s="87"/>
      <c r="AK257" s="87"/>
      <c r="AL257" s="87"/>
      <c r="AM257" s="87"/>
    </row>
    <row r="258" spans="1:39" ht="16.5" hidden="1" customHeight="1" outlineLevel="1" x14ac:dyDescent="0.2">
      <c r="A258" s="48"/>
      <c r="B258" s="46" t="s">
        <v>56</v>
      </c>
      <c r="C258" s="55">
        <v>0.4</v>
      </c>
      <c r="D258" s="51">
        <f t="shared" ref="D258:AD258" si="164">-D100*$C258</f>
        <v>-1700</v>
      </c>
      <c r="E258" s="51">
        <f t="shared" si="164"/>
        <v>-3400</v>
      </c>
      <c r="F258" s="51">
        <f t="shared" si="164"/>
        <v>-4250</v>
      </c>
      <c r="G258" s="51">
        <f t="shared" si="164"/>
        <v>-7650</v>
      </c>
      <c r="H258" s="51">
        <f t="shared" si="164"/>
        <v>-7650</v>
      </c>
      <c r="I258" s="51">
        <f t="shared" si="164"/>
        <v>-11900</v>
      </c>
      <c r="J258" s="51">
        <f t="shared" si="164"/>
        <v>-11050</v>
      </c>
      <c r="K258" s="51">
        <f t="shared" si="164"/>
        <v>-9350</v>
      </c>
      <c r="L258" s="51">
        <f t="shared" si="164"/>
        <v>-7650</v>
      </c>
      <c r="M258" s="51">
        <f t="shared" si="164"/>
        <v>-7650</v>
      </c>
      <c r="N258" s="51">
        <f t="shared" si="164"/>
        <v>-9350</v>
      </c>
      <c r="O258" s="51">
        <f t="shared" si="164"/>
        <v>-11900</v>
      </c>
      <c r="P258" s="51">
        <f t="shared" si="164"/>
        <v>-15300</v>
      </c>
      <c r="Q258" s="51">
        <f t="shared" si="164"/>
        <v>-18700</v>
      </c>
      <c r="R258" s="51">
        <f t="shared" si="164"/>
        <v>-24650</v>
      </c>
      <c r="S258" s="51">
        <f t="shared" si="164"/>
        <v>-22950</v>
      </c>
      <c r="T258" s="51">
        <f t="shared" si="164"/>
        <v>-27200</v>
      </c>
      <c r="U258" s="51">
        <f t="shared" si="164"/>
        <v>-30600</v>
      </c>
      <c r="V258" s="51">
        <f t="shared" si="164"/>
        <v>-24650</v>
      </c>
      <c r="W258" s="51">
        <f t="shared" si="164"/>
        <v>-21250</v>
      </c>
      <c r="X258" s="51">
        <f t="shared" si="164"/>
        <v>-17000</v>
      </c>
      <c r="Y258" s="51">
        <f t="shared" si="164"/>
        <v>-17000</v>
      </c>
      <c r="Z258" s="51">
        <f t="shared" si="164"/>
        <v>-18700</v>
      </c>
      <c r="AA258" s="51">
        <f t="shared" si="164"/>
        <v>-30600</v>
      </c>
      <c r="AB258" s="51">
        <f t="shared" si="164"/>
        <v>-34000</v>
      </c>
      <c r="AC258" s="51">
        <f t="shared" si="164"/>
        <v>-38250</v>
      </c>
      <c r="AD258" s="51">
        <f t="shared" si="164"/>
        <v>-45900</v>
      </c>
      <c r="AE258" s="10"/>
      <c r="AF258" s="10"/>
      <c r="AG258" s="10"/>
      <c r="AH258" s="10"/>
      <c r="AI258" s="10"/>
      <c r="AJ258" s="10"/>
      <c r="AK258" s="10"/>
      <c r="AL258" s="10"/>
      <c r="AM258" s="10"/>
    </row>
    <row r="259" spans="1:39" ht="16.5" hidden="1" customHeight="1" outlineLevel="1" x14ac:dyDescent="0.2">
      <c r="A259" s="48"/>
      <c r="B259" s="81" t="s">
        <v>51</v>
      </c>
      <c r="C259" s="50">
        <v>250</v>
      </c>
      <c r="D259" s="51">
        <f t="shared" ref="D259:AD259" si="165">-$C259*D108</f>
        <v>-500</v>
      </c>
      <c r="E259" s="51">
        <f t="shared" si="165"/>
        <v>-1000</v>
      </c>
      <c r="F259" s="51">
        <f t="shared" si="165"/>
        <v>-1250</v>
      </c>
      <c r="G259" s="51">
        <f t="shared" si="165"/>
        <v>-2250</v>
      </c>
      <c r="H259" s="51">
        <f t="shared" si="165"/>
        <v>-2250</v>
      </c>
      <c r="I259" s="51">
        <f t="shared" si="165"/>
        <v>-3500</v>
      </c>
      <c r="J259" s="51">
        <f t="shared" si="165"/>
        <v>-3250</v>
      </c>
      <c r="K259" s="51">
        <f t="shared" si="165"/>
        <v>-2750</v>
      </c>
      <c r="L259" s="51">
        <f t="shared" si="165"/>
        <v>-2250</v>
      </c>
      <c r="M259" s="51">
        <f t="shared" si="165"/>
        <v>-2250</v>
      </c>
      <c r="N259" s="51">
        <f t="shared" si="165"/>
        <v>-2750</v>
      </c>
      <c r="O259" s="51">
        <f t="shared" si="165"/>
        <v>-3500</v>
      </c>
      <c r="P259" s="51">
        <f t="shared" si="165"/>
        <v>-4500</v>
      </c>
      <c r="Q259" s="51">
        <f t="shared" si="165"/>
        <v>-5500</v>
      </c>
      <c r="R259" s="51">
        <f t="shared" si="165"/>
        <v>-7250</v>
      </c>
      <c r="S259" s="51">
        <f t="shared" si="165"/>
        <v>-6750</v>
      </c>
      <c r="T259" s="51">
        <f t="shared" si="165"/>
        <v>-8000</v>
      </c>
      <c r="U259" s="51">
        <f t="shared" si="165"/>
        <v>-9000</v>
      </c>
      <c r="V259" s="51">
        <f t="shared" si="165"/>
        <v>-7250</v>
      </c>
      <c r="W259" s="51">
        <f t="shared" si="165"/>
        <v>-6250</v>
      </c>
      <c r="X259" s="51">
        <f t="shared" si="165"/>
        <v>-5000</v>
      </c>
      <c r="Y259" s="51">
        <f t="shared" si="165"/>
        <v>-5000</v>
      </c>
      <c r="Z259" s="51">
        <f t="shared" si="165"/>
        <v>-5500</v>
      </c>
      <c r="AA259" s="51">
        <f t="shared" si="165"/>
        <v>-9000</v>
      </c>
      <c r="AB259" s="51">
        <f t="shared" si="165"/>
        <v>-10000</v>
      </c>
      <c r="AC259" s="51">
        <f t="shared" si="165"/>
        <v>-11250</v>
      </c>
      <c r="AD259" s="51">
        <f t="shared" si="165"/>
        <v>-13500</v>
      </c>
      <c r="AE259" s="10"/>
      <c r="AF259" s="10"/>
      <c r="AG259" s="10"/>
      <c r="AH259" s="10"/>
      <c r="AI259" s="10"/>
      <c r="AJ259" s="10"/>
      <c r="AK259" s="10"/>
      <c r="AL259" s="10"/>
      <c r="AM259" s="10"/>
    </row>
    <row r="260" spans="1:39" ht="16.5" hidden="1" customHeight="1" outlineLevel="1" x14ac:dyDescent="0.2">
      <c r="A260" s="48"/>
      <c r="B260" s="46" t="s">
        <v>52</v>
      </c>
      <c r="C260" s="55">
        <v>0.05</v>
      </c>
      <c r="D260" s="51">
        <f t="shared" ref="D260:AD260" si="166">-$C260*D100</f>
        <v>-212.5</v>
      </c>
      <c r="E260" s="51">
        <f t="shared" si="166"/>
        <v>-425</v>
      </c>
      <c r="F260" s="51">
        <f t="shared" si="166"/>
        <v>-531.25</v>
      </c>
      <c r="G260" s="51">
        <f t="shared" si="166"/>
        <v>-956.25</v>
      </c>
      <c r="H260" s="51">
        <f t="shared" si="166"/>
        <v>-956.25</v>
      </c>
      <c r="I260" s="51">
        <f t="shared" si="166"/>
        <v>-1487.5</v>
      </c>
      <c r="J260" s="51">
        <f t="shared" si="166"/>
        <v>-1381.25</v>
      </c>
      <c r="K260" s="51">
        <f t="shared" si="166"/>
        <v>-1168.75</v>
      </c>
      <c r="L260" s="51">
        <f t="shared" si="166"/>
        <v>-956.25</v>
      </c>
      <c r="M260" s="51">
        <f t="shared" si="166"/>
        <v>-956.25</v>
      </c>
      <c r="N260" s="51">
        <f t="shared" si="166"/>
        <v>-1168.75</v>
      </c>
      <c r="O260" s="51">
        <f t="shared" si="166"/>
        <v>-1487.5</v>
      </c>
      <c r="P260" s="51">
        <f t="shared" si="166"/>
        <v>-1912.5</v>
      </c>
      <c r="Q260" s="51">
        <f t="shared" si="166"/>
        <v>-2337.5</v>
      </c>
      <c r="R260" s="51">
        <f t="shared" si="166"/>
        <v>-3081.25</v>
      </c>
      <c r="S260" s="51">
        <f t="shared" si="166"/>
        <v>-2868.75</v>
      </c>
      <c r="T260" s="51">
        <f t="shared" si="166"/>
        <v>-3400</v>
      </c>
      <c r="U260" s="51">
        <f t="shared" si="166"/>
        <v>-3825</v>
      </c>
      <c r="V260" s="51">
        <f t="shared" si="166"/>
        <v>-3081.25</v>
      </c>
      <c r="W260" s="51">
        <f t="shared" si="166"/>
        <v>-2656.25</v>
      </c>
      <c r="X260" s="51">
        <f t="shared" si="166"/>
        <v>-2125</v>
      </c>
      <c r="Y260" s="51">
        <f t="shared" si="166"/>
        <v>-2125</v>
      </c>
      <c r="Z260" s="51">
        <f t="shared" si="166"/>
        <v>-2337.5</v>
      </c>
      <c r="AA260" s="51">
        <f t="shared" si="166"/>
        <v>-3825</v>
      </c>
      <c r="AB260" s="51">
        <f t="shared" si="166"/>
        <v>-4250</v>
      </c>
      <c r="AC260" s="51">
        <f t="shared" si="166"/>
        <v>-4781.25</v>
      </c>
      <c r="AD260" s="51">
        <f t="shared" si="166"/>
        <v>-5737.5</v>
      </c>
      <c r="AE260" s="10"/>
      <c r="AF260" s="10"/>
      <c r="AG260" s="10"/>
      <c r="AH260" s="10"/>
      <c r="AI260" s="10"/>
      <c r="AJ260" s="10"/>
      <c r="AK260" s="10"/>
      <c r="AL260" s="10"/>
      <c r="AM260" s="10"/>
    </row>
    <row r="261" spans="1:39" ht="16.5" hidden="1" customHeight="1" outlineLevel="1" x14ac:dyDescent="0.2">
      <c r="A261" s="48"/>
      <c r="B261" s="83" t="s">
        <v>57</v>
      </c>
      <c r="C261" s="55">
        <v>0.01</v>
      </c>
      <c r="D261" s="51">
        <f t="shared" ref="D261:AD261" si="167">-$C261*D100</f>
        <v>-42.5</v>
      </c>
      <c r="E261" s="51">
        <f t="shared" si="167"/>
        <v>-85</v>
      </c>
      <c r="F261" s="51">
        <f t="shared" si="167"/>
        <v>-106.25</v>
      </c>
      <c r="G261" s="51">
        <f t="shared" si="167"/>
        <v>-191.25</v>
      </c>
      <c r="H261" s="51">
        <f t="shared" si="167"/>
        <v>-191.25</v>
      </c>
      <c r="I261" s="51">
        <f t="shared" si="167"/>
        <v>-297.5</v>
      </c>
      <c r="J261" s="51">
        <f t="shared" si="167"/>
        <v>-276.25</v>
      </c>
      <c r="K261" s="51">
        <f t="shared" si="167"/>
        <v>-233.75</v>
      </c>
      <c r="L261" s="51">
        <f t="shared" si="167"/>
        <v>-191.25</v>
      </c>
      <c r="M261" s="51">
        <f t="shared" si="167"/>
        <v>-191.25</v>
      </c>
      <c r="N261" s="51">
        <f t="shared" si="167"/>
        <v>-233.75</v>
      </c>
      <c r="O261" s="51">
        <f t="shared" si="167"/>
        <v>-297.5</v>
      </c>
      <c r="P261" s="51">
        <f t="shared" si="167"/>
        <v>-382.5</v>
      </c>
      <c r="Q261" s="51">
        <f t="shared" si="167"/>
        <v>-467.5</v>
      </c>
      <c r="R261" s="51">
        <f t="shared" si="167"/>
        <v>-616.25</v>
      </c>
      <c r="S261" s="51">
        <f t="shared" si="167"/>
        <v>-573.75</v>
      </c>
      <c r="T261" s="51">
        <f t="shared" si="167"/>
        <v>-680</v>
      </c>
      <c r="U261" s="51">
        <f t="shared" si="167"/>
        <v>-765</v>
      </c>
      <c r="V261" s="51">
        <f t="shared" si="167"/>
        <v>-616.25</v>
      </c>
      <c r="W261" s="51">
        <f t="shared" si="167"/>
        <v>-531.25</v>
      </c>
      <c r="X261" s="51">
        <f t="shared" si="167"/>
        <v>-425</v>
      </c>
      <c r="Y261" s="51">
        <f t="shared" si="167"/>
        <v>-425</v>
      </c>
      <c r="Z261" s="51">
        <f t="shared" si="167"/>
        <v>-467.5</v>
      </c>
      <c r="AA261" s="51">
        <f t="shared" si="167"/>
        <v>-765</v>
      </c>
      <c r="AB261" s="51">
        <f t="shared" si="167"/>
        <v>-850</v>
      </c>
      <c r="AC261" s="51">
        <f t="shared" si="167"/>
        <v>-956.25</v>
      </c>
      <c r="AD261" s="51">
        <f t="shared" si="167"/>
        <v>-1147.5</v>
      </c>
      <c r="AE261" s="10"/>
      <c r="AF261" s="10"/>
      <c r="AG261" s="10"/>
      <c r="AH261" s="10"/>
      <c r="AI261" s="10"/>
      <c r="AJ261" s="10"/>
      <c r="AK261" s="10"/>
      <c r="AL261" s="10"/>
      <c r="AM261" s="10"/>
    </row>
    <row r="262" spans="1:39" ht="16.5" hidden="1" customHeight="1" outlineLevel="1" x14ac:dyDescent="0.2">
      <c r="A262" s="48"/>
      <c r="B262" s="46" t="s">
        <v>54</v>
      </c>
      <c r="C262" s="50">
        <v>60</v>
      </c>
      <c r="D262" s="51">
        <f t="shared" ref="D262:AD262" si="168">-$C262*D108</f>
        <v>-120</v>
      </c>
      <c r="E262" s="51">
        <f t="shared" si="168"/>
        <v>-240</v>
      </c>
      <c r="F262" s="51">
        <f t="shared" si="168"/>
        <v>-300</v>
      </c>
      <c r="G262" s="51">
        <f t="shared" si="168"/>
        <v>-540</v>
      </c>
      <c r="H262" s="51">
        <f t="shared" si="168"/>
        <v>-540</v>
      </c>
      <c r="I262" s="51">
        <f t="shared" si="168"/>
        <v>-840</v>
      </c>
      <c r="J262" s="51">
        <f t="shared" si="168"/>
        <v>-780</v>
      </c>
      <c r="K262" s="51">
        <f t="shared" si="168"/>
        <v>-660</v>
      </c>
      <c r="L262" s="51">
        <f t="shared" si="168"/>
        <v>-540</v>
      </c>
      <c r="M262" s="51">
        <f t="shared" si="168"/>
        <v>-540</v>
      </c>
      <c r="N262" s="51">
        <f t="shared" si="168"/>
        <v>-660</v>
      </c>
      <c r="O262" s="51">
        <f t="shared" si="168"/>
        <v>-840</v>
      </c>
      <c r="P262" s="51">
        <f t="shared" si="168"/>
        <v>-1080</v>
      </c>
      <c r="Q262" s="51">
        <f t="shared" si="168"/>
        <v>-1320</v>
      </c>
      <c r="R262" s="51">
        <f t="shared" si="168"/>
        <v>-1740</v>
      </c>
      <c r="S262" s="51">
        <f t="shared" si="168"/>
        <v>-1620</v>
      </c>
      <c r="T262" s="51">
        <f t="shared" si="168"/>
        <v>-1920</v>
      </c>
      <c r="U262" s="51">
        <f t="shared" si="168"/>
        <v>-2160</v>
      </c>
      <c r="V262" s="51">
        <f t="shared" si="168"/>
        <v>-1740</v>
      </c>
      <c r="W262" s="51">
        <f t="shared" si="168"/>
        <v>-1500</v>
      </c>
      <c r="X262" s="51">
        <f t="shared" si="168"/>
        <v>-1200</v>
      </c>
      <c r="Y262" s="51">
        <f t="shared" si="168"/>
        <v>-1200</v>
      </c>
      <c r="Z262" s="51">
        <f t="shared" si="168"/>
        <v>-1320</v>
      </c>
      <c r="AA262" s="51">
        <f t="shared" si="168"/>
        <v>-2160</v>
      </c>
      <c r="AB262" s="51">
        <f t="shared" si="168"/>
        <v>-2400</v>
      </c>
      <c r="AC262" s="51">
        <f t="shared" si="168"/>
        <v>-2700</v>
      </c>
      <c r="AD262" s="51">
        <f t="shared" si="168"/>
        <v>-3240</v>
      </c>
      <c r="AE262" s="10"/>
      <c r="AF262" s="10"/>
      <c r="AG262" s="10"/>
      <c r="AH262" s="10"/>
      <c r="AI262" s="10"/>
      <c r="AJ262" s="10"/>
      <c r="AK262" s="10"/>
      <c r="AL262" s="10"/>
      <c r="AM262" s="10"/>
    </row>
    <row r="263" spans="1:39" ht="16.5" customHeight="1" collapsed="1" x14ac:dyDescent="0.25">
      <c r="A263" s="90"/>
      <c r="B263" s="541" t="s">
        <v>434</v>
      </c>
      <c r="C263" s="89"/>
      <c r="D263" s="80">
        <f t="shared" ref="D263:AD263" si="169">SUM(D264:D268)</f>
        <v>-3164.2</v>
      </c>
      <c r="E263" s="80">
        <f t="shared" si="169"/>
        <v>-6328.4</v>
      </c>
      <c r="F263" s="80">
        <f t="shared" si="169"/>
        <v>-7910.5</v>
      </c>
      <c r="G263" s="80">
        <f t="shared" si="169"/>
        <v>-14238.9</v>
      </c>
      <c r="H263" s="80">
        <f t="shared" si="169"/>
        <v>-14238.9</v>
      </c>
      <c r="I263" s="80">
        <f t="shared" si="169"/>
        <v>-22149.4</v>
      </c>
      <c r="J263" s="80">
        <f t="shared" si="169"/>
        <v>-20567.3</v>
      </c>
      <c r="K263" s="80">
        <f t="shared" si="169"/>
        <v>-17403.099999999999</v>
      </c>
      <c r="L263" s="80">
        <f t="shared" si="169"/>
        <v>-14238.9</v>
      </c>
      <c r="M263" s="80">
        <f t="shared" si="169"/>
        <v>-14238.9</v>
      </c>
      <c r="N263" s="80">
        <f t="shared" si="169"/>
        <v>-17403.099999999999</v>
      </c>
      <c r="O263" s="80">
        <f t="shared" si="169"/>
        <v>-22149.4</v>
      </c>
      <c r="P263" s="80">
        <f t="shared" si="169"/>
        <v>-28477.8</v>
      </c>
      <c r="Q263" s="80">
        <f t="shared" si="169"/>
        <v>-34806.199999999997</v>
      </c>
      <c r="R263" s="80">
        <f t="shared" si="169"/>
        <v>-45880.9</v>
      </c>
      <c r="S263" s="80">
        <f t="shared" si="169"/>
        <v>-42716.7</v>
      </c>
      <c r="T263" s="80">
        <f t="shared" si="169"/>
        <v>-50627.199999999997</v>
      </c>
      <c r="U263" s="80">
        <f t="shared" si="169"/>
        <v>-56955.6</v>
      </c>
      <c r="V263" s="80">
        <f t="shared" si="169"/>
        <v>-45880.9</v>
      </c>
      <c r="W263" s="80">
        <f t="shared" si="169"/>
        <v>-39552.5</v>
      </c>
      <c r="X263" s="80">
        <f t="shared" si="169"/>
        <v>-31642</v>
      </c>
      <c r="Y263" s="80">
        <f t="shared" si="169"/>
        <v>-31642</v>
      </c>
      <c r="Z263" s="80">
        <f t="shared" si="169"/>
        <v>-34806.199999999997</v>
      </c>
      <c r="AA263" s="80">
        <f t="shared" si="169"/>
        <v>-56955.6</v>
      </c>
      <c r="AB263" s="80">
        <f t="shared" si="169"/>
        <v>-63284</v>
      </c>
      <c r="AC263" s="80">
        <f t="shared" si="169"/>
        <v>-71194.5</v>
      </c>
      <c r="AD263" s="80">
        <f t="shared" si="169"/>
        <v>-85433.4</v>
      </c>
      <c r="AE263" s="87"/>
      <c r="AF263" s="87"/>
      <c r="AG263" s="87"/>
      <c r="AH263" s="87"/>
      <c r="AI263" s="87"/>
      <c r="AJ263" s="87"/>
      <c r="AK263" s="87"/>
      <c r="AL263" s="87"/>
      <c r="AM263" s="87"/>
    </row>
    <row r="264" spans="1:39" ht="16.5" hidden="1" customHeight="1" outlineLevel="1" x14ac:dyDescent="0.25">
      <c r="A264" s="48"/>
      <c r="B264" s="46" t="s">
        <v>56</v>
      </c>
      <c r="C264" s="55">
        <v>0.4</v>
      </c>
      <c r="D264" s="91">
        <f t="shared" ref="D264:AD264" si="170">-D110*$C264</f>
        <v>-2108</v>
      </c>
      <c r="E264" s="91">
        <f t="shared" si="170"/>
        <v>-4216</v>
      </c>
      <c r="F264" s="91">
        <f t="shared" si="170"/>
        <v>-5270</v>
      </c>
      <c r="G264" s="91">
        <f t="shared" si="170"/>
        <v>-9486</v>
      </c>
      <c r="H264" s="91">
        <f t="shared" si="170"/>
        <v>-9486</v>
      </c>
      <c r="I264" s="91">
        <f t="shared" si="170"/>
        <v>-14756</v>
      </c>
      <c r="J264" s="91">
        <f t="shared" si="170"/>
        <v>-13702</v>
      </c>
      <c r="K264" s="91">
        <f t="shared" si="170"/>
        <v>-11594</v>
      </c>
      <c r="L264" s="91">
        <f t="shared" si="170"/>
        <v>-9486</v>
      </c>
      <c r="M264" s="91">
        <f t="shared" si="170"/>
        <v>-9486</v>
      </c>
      <c r="N264" s="91">
        <f t="shared" si="170"/>
        <v>-11594</v>
      </c>
      <c r="O264" s="91">
        <f t="shared" si="170"/>
        <v>-14756</v>
      </c>
      <c r="P264" s="91">
        <f t="shared" si="170"/>
        <v>-18972</v>
      </c>
      <c r="Q264" s="91">
        <f t="shared" si="170"/>
        <v>-23188</v>
      </c>
      <c r="R264" s="91">
        <f t="shared" si="170"/>
        <v>-30566</v>
      </c>
      <c r="S264" s="91">
        <f t="shared" si="170"/>
        <v>-28458</v>
      </c>
      <c r="T264" s="91">
        <f t="shared" si="170"/>
        <v>-33728</v>
      </c>
      <c r="U264" s="91">
        <f t="shared" si="170"/>
        <v>-37944</v>
      </c>
      <c r="V264" s="91">
        <f t="shared" si="170"/>
        <v>-30566</v>
      </c>
      <c r="W264" s="91">
        <f t="shared" si="170"/>
        <v>-26350</v>
      </c>
      <c r="X264" s="91">
        <f t="shared" si="170"/>
        <v>-21080</v>
      </c>
      <c r="Y264" s="91">
        <f t="shared" si="170"/>
        <v>-21080</v>
      </c>
      <c r="Z264" s="91">
        <f t="shared" si="170"/>
        <v>-23188</v>
      </c>
      <c r="AA264" s="91">
        <f t="shared" si="170"/>
        <v>-37944</v>
      </c>
      <c r="AB264" s="91">
        <f t="shared" si="170"/>
        <v>-42160</v>
      </c>
      <c r="AC264" s="91">
        <f t="shared" si="170"/>
        <v>-47430</v>
      </c>
      <c r="AD264" s="91">
        <f t="shared" si="170"/>
        <v>-56916</v>
      </c>
      <c r="AE264" s="10"/>
      <c r="AF264" s="10"/>
      <c r="AG264" s="10"/>
      <c r="AH264" s="10"/>
      <c r="AI264" s="10"/>
      <c r="AJ264" s="10"/>
      <c r="AK264" s="10"/>
      <c r="AL264" s="10"/>
      <c r="AM264" s="10"/>
    </row>
    <row r="265" spans="1:39" ht="16.5" hidden="1" customHeight="1" outlineLevel="1" x14ac:dyDescent="0.25">
      <c r="A265" s="48"/>
      <c r="B265" s="81" t="s">
        <v>51</v>
      </c>
      <c r="C265" s="50">
        <v>310</v>
      </c>
      <c r="D265" s="91">
        <f t="shared" ref="D265:AD265" si="171">-$C265*D118</f>
        <v>-620</v>
      </c>
      <c r="E265" s="91">
        <f t="shared" si="171"/>
        <v>-1240</v>
      </c>
      <c r="F265" s="91">
        <f t="shared" si="171"/>
        <v>-1550</v>
      </c>
      <c r="G265" s="91">
        <f t="shared" si="171"/>
        <v>-2790</v>
      </c>
      <c r="H265" s="91">
        <f t="shared" si="171"/>
        <v>-2790</v>
      </c>
      <c r="I265" s="91">
        <f t="shared" si="171"/>
        <v>-4340</v>
      </c>
      <c r="J265" s="91">
        <f t="shared" si="171"/>
        <v>-4030</v>
      </c>
      <c r="K265" s="91">
        <f t="shared" si="171"/>
        <v>-3410</v>
      </c>
      <c r="L265" s="91">
        <f t="shared" si="171"/>
        <v>-2790</v>
      </c>
      <c r="M265" s="91">
        <f t="shared" si="171"/>
        <v>-2790</v>
      </c>
      <c r="N265" s="91">
        <f t="shared" si="171"/>
        <v>-3410</v>
      </c>
      <c r="O265" s="91">
        <f t="shared" si="171"/>
        <v>-4340</v>
      </c>
      <c r="P265" s="91">
        <f t="shared" si="171"/>
        <v>-5580</v>
      </c>
      <c r="Q265" s="91">
        <f t="shared" si="171"/>
        <v>-6820</v>
      </c>
      <c r="R265" s="91">
        <f t="shared" si="171"/>
        <v>-8990</v>
      </c>
      <c r="S265" s="91">
        <f t="shared" si="171"/>
        <v>-8370</v>
      </c>
      <c r="T265" s="91">
        <f t="shared" si="171"/>
        <v>-9920</v>
      </c>
      <c r="U265" s="91">
        <f t="shared" si="171"/>
        <v>-11160</v>
      </c>
      <c r="V265" s="91">
        <f t="shared" si="171"/>
        <v>-8990</v>
      </c>
      <c r="W265" s="91">
        <f t="shared" si="171"/>
        <v>-7750</v>
      </c>
      <c r="X265" s="91">
        <f t="shared" si="171"/>
        <v>-6200</v>
      </c>
      <c r="Y265" s="91">
        <f t="shared" si="171"/>
        <v>-6200</v>
      </c>
      <c r="Z265" s="91">
        <f t="shared" si="171"/>
        <v>-6820</v>
      </c>
      <c r="AA265" s="91">
        <f t="shared" si="171"/>
        <v>-11160</v>
      </c>
      <c r="AB265" s="91">
        <f t="shared" si="171"/>
        <v>-12400</v>
      </c>
      <c r="AC265" s="91">
        <f t="shared" si="171"/>
        <v>-13950</v>
      </c>
      <c r="AD265" s="91">
        <f t="shared" si="171"/>
        <v>-16740</v>
      </c>
      <c r="AE265" s="10"/>
      <c r="AF265" s="10"/>
      <c r="AG265" s="10"/>
      <c r="AH265" s="10"/>
      <c r="AI265" s="10"/>
      <c r="AJ265" s="10"/>
      <c r="AK265" s="10"/>
      <c r="AL265" s="10"/>
      <c r="AM265" s="10"/>
    </row>
    <row r="266" spans="1:39" ht="16.5" hidden="1" customHeight="1" outlineLevel="1" x14ac:dyDescent="0.25">
      <c r="A266" s="48"/>
      <c r="B266" s="46" t="s">
        <v>52</v>
      </c>
      <c r="C266" s="55">
        <v>0.05</v>
      </c>
      <c r="D266" s="91">
        <f t="shared" ref="D266:AD266" si="172">-$C266*D110</f>
        <v>-263.5</v>
      </c>
      <c r="E266" s="91">
        <f t="shared" si="172"/>
        <v>-527</v>
      </c>
      <c r="F266" s="91">
        <f t="shared" si="172"/>
        <v>-658.75</v>
      </c>
      <c r="G266" s="91">
        <f t="shared" si="172"/>
        <v>-1185.75</v>
      </c>
      <c r="H266" s="91">
        <f t="shared" si="172"/>
        <v>-1185.75</v>
      </c>
      <c r="I266" s="91">
        <f t="shared" si="172"/>
        <v>-1844.5</v>
      </c>
      <c r="J266" s="91">
        <f t="shared" si="172"/>
        <v>-1712.75</v>
      </c>
      <c r="K266" s="91">
        <f t="shared" si="172"/>
        <v>-1449.25</v>
      </c>
      <c r="L266" s="91">
        <f t="shared" si="172"/>
        <v>-1185.75</v>
      </c>
      <c r="M266" s="91">
        <f t="shared" si="172"/>
        <v>-1185.75</v>
      </c>
      <c r="N266" s="91">
        <f t="shared" si="172"/>
        <v>-1449.25</v>
      </c>
      <c r="O266" s="91">
        <f t="shared" si="172"/>
        <v>-1844.5</v>
      </c>
      <c r="P266" s="91">
        <f t="shared" si="172"/>
        <v>-2371.5</v>
      </c>
      <c r="Q266" s="91">
        <f t="shared" si="172"/>
        <v>-2898.5</v>
      </c>
      <c r="R266" s="91">
        <f t="shared" si="172"/>
        <v>-3820.75</v>
      </c>
      <c r="S266" s="91">
        <f t="shared" si="172"/>
        <v>-3557.25</v>
      </c>
      <c r="T266" s="91">
        <f t="shared" si="172"/>
        <v>-4216</v>
      </c>
      <c r="U266" s="91">
        <f t="shared" si="172"/>
        <v>-4743</v>
      </c>
      <c r="V266" s="91">
        <f t="shared" si="172"/>
        <v>-3820.75</v>
      </c>
      <c r="W266" s="91">
        <f t="shared" si="172"/>
        <v>-3293.75</v>
      </c>
      <c r="X266" s="91">
        <f t="shared" si="172"/>
        <v>-2635</v>
      </c>
      <c r="Y266" s="91">
        <f t="shared" si="172"/>
        <v>-2635</v>
      </c>
      <c r="Z266" s="91">
        <f t="shared" si="172"/>
        <v>-2898.5</v>
      </c>
      <c r="AA266" s="91">
        <f t="shared" si="172"/>
        <v>-4743</v>
      </c>
      <c r="AB266" s="91">
        <f t="shared" si="172"/>
        <v>-5270</v>
      </c>
      <c r="AC266" s="91">
        <f t="shared" si="172"/>
        <v>-5928.75</v>
      </c>
      <c r="AD266" s="91">
        <f t="shared" si="172"/>
        <v>-7114.5</v>
      </c>
      <c r="AE266" s="10"/>
      <c r="AF266" s="10"/>
      <c r="AG266" s="10"/>
      <c r="AH266" s="10"/>
      <c r="AI266" s="10"/>
      <c r="AJ266" s="10"/>
      <c r="AK266" s="10"/>
      <c r="AL266" s="10"/>
      <c r="AM266" s="10"/>
    </row>
    <row r="267" spans="1:39" ht="16.5" hidden="1" customHeight="1" outlineLevel="1" x14ac:dyDescent="0.25">
      <c r="A267" s="48"/>
      <c r="B267" s="83" t="s">
        <v>57</v>
      </c>
      <c r="C267" s="55">
        <v>0.01</v>
      </c>
      <c r="D267" s="91">
        <f t="shared" ref="D267:AD267" si="173">-$C267*D110</f>
        <v>-52.7</v>
      </c>
      <c r="E267" s="91">
        <f t="shared" si="173"/>
        <v>-105.4</v>
      </c>
      <c r="F267" s="91">
        <f t="shared" si="173"/>
        <v>-131.75</v>
      </c>
      <c r="G267" s="91">
        <f t="shared" si="173"/>
        <v>-237.15</v>
      </c>
      <c r="H267" s="91">
        <f t="shared" si="173"/>
        <v>-237.15</v>
      </c>
      <c r="I267" s="91">
        <f t="shared" si="173"/>
        <v>-368.90000000000003</v>
      </c>
      <c r="J267" s="91">
        <f t="shared" si="173"/>
        <v>-342.55</v>
      </c>
      <c r="K267" s="91">
        <f t="shared" si="173"/>
        <v>-289.85000000000002</v>
      </c>
      <c r="L267" s="91">
        <f t="shared" si="173"/>
        <v>-237.15</v>
      </c>
      <c r="M267" s="91">
        <f t="shared" si="173"/>
        <v>-237.15</v>
      </c>
      <c r="N267" s="91">
        <f t="shared" si="173"/>
        <v>-289.85000000000002</v>
      </c>
      <c r="O267" s="91">
        <f t="shared" si="173"/>
        <v>-368.90000000000003</v>
      </c>
      <c r="P267" s="91">
        <f t="shared" si="173"/>
        <v>-474.3</v>
      </c>
      <c r="Q267" s="91">
        <f t="shared" si="173"/>
        <v>-579.70000000000005</v>
      </c>
      <c r="R267" s="91">
        <f t="shared" si="173"/>
        <v>-764.15</v>
      </c>
      <c r="S267" s="91">
        <f t="shared" si="173"/>
        <v>-711.45</v>
      </c>
      <c r="T267" s="91">
        <f t="shared" si="173"/>
        <v>-843.2</v>
      </c>
      <c r="U267" s="91">
        <f t="shared" si="173"/>
        <v>-948.6</v>
      </c>
      <c r="V267" s="91">
        <f t="shared" si="173"/>
        <v>-764.15</v>
      </c>
      <c r="W267" s="91">
        <f t="shared" si="173"/>
        <v>-658.75</v>
      </c>
      <c r="X267" s="91">
        <f t="shared" si="173"/>
        <v>-527</v>
      </c>
      <c r="Y267" s="91">
        <f t="shared" si="173"/>
        <v>-527</v>
      </c>
      <c r="Z267" s="91">
        <f t="shared" si="173"/>
        <v>-579.70000000000005</v>
      </c>
      <c r="AA267" s="91">
        <f t="shared" si="173"/>
        <v>-948.6</v>
      </c>
      <c r="AB267" s="91">
        <f t="shared" si="173"/>
        <v>-1054</v>
      </c>
      <c r="AC267" s="91">
        <f t="shared" si="173"/>
        <v>-1185.75</v>
      </c>
      <c r="AD267" s="91">
        <f t="shared" si="173"/>
        <v>-1422.9</v>
      </c>
      <c r="AE267" s="10"/>
      <c r="AF267" s="10"/>
      <c r="AG267" s="10"/>
      <c r="AH267" s="10"/>
      <c r="AI267" s="10"/>
      <c r="AJ267" s="10"/>
      <c r="AK267" s="10"/>
      <c r="AL267" s="10"/>
      <c r="AM267" s="10"/>
    </row>
    <row r="268" spans="1:39" ht="15.75" hidden="1" customHeight="1" outlineLevel="1" x14ac:dyDescent="0.25">
      <c r="A268" s="16"/>
      <c r="B268" s="46" t="s">
        <v>54</v>
      </c>
      <c r="C268" s="50">
        <v>60</v>
      </c>
      <c r="D268" s="91">
        <f t="shared" ref="D268:AD268" si="174">-$C268*D118</f>
        <v>-120</v>
      </c>
      <c r="E268" s="91">
        <f t="shared" si="174"/>
        <v>-240</v>
      </c>
      <c r="F268" s="91">
        <f t="shared" si="174"/>
        <v>-300</v>
      </c>
      <c r="G268" s="91">
        <f t="shared" si="174"/>
        <v>-540</v>
      </c>
      <c r="H268" s="91">
        <f t="shared" si="174"/>
        <v>-540</v>
      </c>
      <c r="I268" s="91">
        <f t="shared" si="174"/>
        <v>-840</v>
      </c>
      <c r="J268" s="91">
        <f t="shared" si="174"/>
        <v>-780</v>
      </c>
      <c r="K268" s="91">
        <f t="shared" si="174"/>
        <v>-660</v>
      </c>
      <c r="L268" s="91">
        <f t="shared" si="174"/>
        <v>-540</v>
      </c>
      <c r="M268" s="91">
        <f t="shared" si="174"/>
        <v>-540</v>
      </c>
      <c r="N268" s="91">
        <f t="shared" si="174"/>
        <v>-660</v>
      </c>
      <c r="O268" s="91">
        <f t="shared" si="174"/>
        <v>-840</v>
      </c>
      <c r="P268" s="91">
        <f t="shared" si="174"/>
        <v>-1080</v>
      </c>
      <c r="Q268" s="91">
        <f t="shared" si="174"/>
        <v>-1320</v>
      </c>
      <c r="R268" s="91">
        <f t="shared" si="174"/>
        <v>-1740</v>
      </c>
      <c r="S268" s="91">
        <f t="shared" si="174"/>
        <v>-1620</v>
      </c>
      <c r="T268" s="91">
        <f t="shared" si="174"/>
        <v>-1920</v>
      </c>
      <c r="U268" s="91">
        <f t="shared" si="174"/>
        <v>-2160</v>
      </c>
      <c r="V268" s="91">
        <f t="shared" si="174"/>
        <v>-1740</v>
      </c>
      <c r="W268" s="91">
        <f t="shared" si="174"/>
        <v>-1500</v>
      </c>
      <c r="X268" s="91">
        <f t="shared" si="174"/>
        <v>-1200</v>
      </c>
      <c r="Y268" s="91">
        <f t="shared" si="174"/>
        <v>-1200</v>
      </c>
      <c r="Z268" s="91">
        <f t="shared" si="174"/>
        <v>-1320</v>
      </c>
      <c r="AA268" s="91">
        <f t="shared" si="174"/>
        <v>-2160</v>
      </c>
      <c r="AB268" s="91">
        <f t="shared" si="174"/>
        <v>-2400</v>
      </c>
      <c r="AC268" s="91">
        <f t="shared" si="174"/>
        <v>-2700</v>
      </c>
      <c r="AD268" s="91">
        <f t="shared" si="174"/>
        <v>-3240</v>
      </c>
      <c r="AE268" s="10"/>
      <c r="AF268" s="10"/>
      <c r="AG268" s="10"/>
      <c r="AH268" s="10"/>
      <c r="AI268" s="10"/>
      <c r="AJ268" s="10"/>
      <c r="AK268" s="10"/>
      <c r="AL268" s="10"/>
      <c r="AM268" s="10"/>
    </row>
    <row r="269" spans="1:39" ht="15.75" customHeight="1" collapsed="1" x14ac:dyDescent="0.25">
      <c r="A269" s="84"/>
      <c r="B269" s="541" t="s">
        <v>435</v>
      </c>
      <c r="C269" s="85"/>
      <c r="D269" s="86">
        <f t="shared" ref="D269:AD269" si="175">SUM(D270:D274)</f>
        <v>-3164.2</v>
      </c>
      <c r="E269" s="86">
        <f t="shared" si="175"/>
        <v>-6328.4</v>
      </c>
      <c r="F269" s="86">
        <f t="shared" si="175"/>
        <v>-7910.5</v>
      </c>
      <c r="G269" s="86">
        <f t="shared" si="175"/>
        <v>-14238.9</v>
      </c>
      <c r="H269" s="86">
        <f t="shared" si="175"/>
        <v>-14238.9</v>
      </c>
      <c r="I269" s="86">
        <f t="shared" si="175"/>
        <v>-22149.4</v>
      </c>
      <c r="J269" s="86">
        <f t="shared" si="175"/>
        <v>-20567.3</v>
      </c>
      <c r="K269" s="86">
        <f t="shared" si="175"/>
        <v>-17403.099999999999</v>
      </c>
      <c r="L269" s="86">
        <f t="shared" si="175"/>
        <v>-14238.9</v>
      </c>
      <c r="M269" s="86">
        <f t="shared" si="175"/>
        <v>-14238.9</v>
      </c>
      <c r="N269" s="86">
        <f t="shared" si="175"/>
        <v>-17403.099999999999</v>
      </c>
      <c r="O269" s="86">
        <f t="shared" si="175"/>
        <v>-22149.4</v>
      </c>
      <c r="P269" s="86">
        <f t="shared" si="175"/>
        <v>-28477.8</v>
      </c>
      <c r="Q269" s="86">
        <f t="shared" si="175"/>
        <v>-34806.199999999997</v>
      </c>
      <c r="R269" s="86">
        <f t="shared" si="175"/>
        <v>-45880.9</v>
      </c>
      <c r="S269" s="86">
        <f t="shared" si="175"/>
        <v>-42716.7</v>
      </c>
      <c r="T269" s="86">
        <f t="shared" si="175"/>
        <v>-50627.199999999997</v>
      </c>
      <c r="U269" s="86">
        <f t="shared" si="175"/>
        <v>-56955.6</v>
      </c>
      <c r="V269" s="86">
        <f t="shared" si="175"/>
        <v>-45880.9</v>
      </c>
      <c r="W269" s="86">
        <f t="shared" si="175"/>
        <v>-39552.5</v>
      </c>
      <c r="X269" s="86">
        <f t="shared" si="175"/>
        <v>-31642</v>
      </c>
      <c r="Y269" s="86">
        <f t="shared" si="175"/>
        <v>-31642</v>
      </c>
      <c r="Z269" s="86">
        <f t="shared" si="175"/>
        <v>-34806.199999999997</v>
      </c>
      <c r="AA269" s="86">
        <f t="shared" si="175"/>
        <v>-56955.6</v>
      </c>
      <c r="AB269" s="86">
        <f t="shared" si="175"/>
        <v>-63284</v>
      </c>
      <c r="AC269" s="86">
        <f t="shared" si="175"/>
        <v>-71194.5</v>
      </c>
      <c r="AD269" s="86">
        <f t="shared" si="175"/>
        <v>-85433.4</v>
      </c>
      <c r="AE269" s="87"/>
      <c r="AF269" s="87"/>
      <c r="AG269" s="87"/>
      <c r="AH269" s="87"/>
      <c r="AI269" s="87"/>
      <c r="AJ269" s="87"/>
      <c r="AK269" s="87"/>
      <c r="AL269" s="87"/>
      <c r="AM269" s="87"/>
    </row>
    <row r="270" spans="1:39" ht="15.75" hidden="1" customHeight="1" outlineLevel="1" x14ac:dyDescent="0.25">
      <c r="A270" s="16"/>
      <c r="B270" s="46" t="s">
        <v>56</v>
      </c>
      <c r="C270" s="55">
        <v>0.4</v>
      </c>
      <c r="D270" s="91">
        <f t="shared" ref="D270:AD270" si="176">-D120*$C270</f>
        <v>-2108</v>
      </c>
      <c r="E270" s="91">
        <f t="shared" si="176"/>
        <v>-4216</v>
      </c>
      <c r="F270" s="91">
        <f t="shared" si="176"/>
        <v>-5270</v>
      </c>
      <c r="G270" s="91">
        <f t="shared" si="176"/>
        <v>-9486</v>
      </c>
      <c r="H270" s="91">
        <f t="shared" si="176"/>
        <v>-9486</v>
      </c>
      <c r="I270" s="91">
        <f t="shared" si="176"/>
        <v>-14756</v>
      </c>
      <c r="J270" s="91">
        <f t="shared" si="176"/>
        <v>-13702</v>
      </c>
      <c r="K270" s="91">
        <f t="shared" si="176"/>
        <v>-11594</v>
      </c>
      <c r="L270" s="91">
        <f t="shared" si="176"/>
        <v>-9486</v>
      </c>
      <c r="M270" s="91">
        <f t="shared" si="176"/>
        <v>-9486</v>
      </c>
      <c r="N270" s="91">
        <f t="shared" si="176"/>
        <v>-11594</v>
      </c>
      <c r="O270" s="91">
        <f t="shared" si="176"/>
        <v>-14756</v>
      </c>
      <c r="P270" s="91">
        <f t="shared" si="176"/>
        <v>-18972</v>
      </c>
      <c r="Q270" s="91">
        <f t="shared" si="176"/>
        <v>-23188</v>
      </c>
      <c r="R270" s="91">
        <f t="shared" si="176"/>
        <v>-30566</v>
      </c>
      <c r="S270" s="91">
        <f t="shared" si="176"/>
        <v>-28458</v>
      </c>
      <c r="T270" s="91">
        <f t="shared" si="176"/>
        <v>-33728</v>
      </c>
      <c r="U270" s="91">
        <f t="shared" si="176"/>
        <v>-37944</v>
      </c>
      <c r="V270" s="91">
        <f t="shared" si="176"/>
        <v>-30566</v>
      </c>
      <c r="W270" s="91">
        <f t="shared" si="176"/>
        <v>-26350</v>
      </c>
      <c r="X270" s="91">
        <f t="shared" si="176"/>
        <v>-21080</v>
      </c>
      <c r="Y270" s="91">
        <f t="shared" si="176"/>
        <v>-21080</v>
      </c>
      <c r="Z270" s="91">
        <f t="shared" si="176"/>
        <v>-23188</v>
      </c>
      <c r="AA270" s="91">
        <f t="shared" si="176"/>
        <v>-37944</v>
      </c>
      <c r="AB270" s="91">
        <f t="shared" si="176"/>
        <v>-42160</v>
      </c>
      <c r="AC270" s="91">
        <f t="shared" si="176"/>
        <v>-47430</v>
      </c>
      <c r="AD270" s="91">
        <f t="shared" si="176"/>
        <v>-56916</v>
      </c>
      <c r="AE270" s="10"/>
      <c r="AF270" s="10"/>
      <c r="AG270" s="10"/>
      <c r="AH270" s="10"/>
      <c r="AI270" s="10"/>
      <c r="AJ270" s="10"/>
      <c r="AK270" s="10"/>
      <c r="AL270" s="10"/>
      <c r="AM270" s="10"/>
    </row>
    <row r="271" spans="1:39" ht="15.75" hidden="1" customHeight="1" outlineLevel="1" x14ac:dyDescent="0.25">
      <c r="A271" s="16"/>
      <c r="B271" s="81" t="s">
        <v>51</v>
      </c>
      <c r="C271" s="50">
        <v>310</v>
      </c>
      <c r="D271" s="91">
        <f t="shared" ref="D271:AD271" si="177">-$C271*D128</f>
        <v>-620</v>
      </c>
      <c r="E271" s="91">
        <f t="shared" si="177"/>
        <v>-1240</v>
      </c>
      <c r="F271" s="91">
        <f t="shared" si="177"/>
        <v>-1550</v>
      </c>
      <c r="G271" s="91">
        <f t="shared" si="177"/>
        <v>-2790</v>
      </c>
      <c r="H271" s="91">
        <f t="shared" si="177"/>
        <v>-2790</v>
      </c>
      <c r="I271" s="91">
        <f t="shared" si="177"/>
        <v>-4340</v>
      </c>
      <c r="J271" s="91">
        <f t="shared" si="177"/>
        <v>-4030</v>
      </c>
      <c r="K271" s="91">
        <f t="shared" si="177"/>
        <v>-3410</v>
      </c>
      <c r="L271" s="91">
        <f t="shared" si="177"/>
        <v>-2790</v>
      </c>
      <c r="M271" s="91">
        <f t="shared" si="177"/>
        <v>-2790</v>
      </c>
      <c r="N271" s="91">
        <f t="shared" si="177"/>
        <v>-3410</v>
      </c>
      <c r="O271" s="91">
        <f t="shared" si="177"/>
        <v>-4340</v>
      </c>
      <c r="P271" s="91">
        <f t="shared" si="177"/>
        <v>-5580</v>
      </c>
      <c r="Q271" s="91">
        <f t="shared" si="177"/>
        <v>-6820</v>
      </c>
      <c r="R271" s="91">
        <f t="shared" si="177"/>
        <v>-8990</v>
      </c>
      <c r="S271" s="91">
        <f t="shared" si="177"/>
        <v>-8370</v>
      </c>
      <c r="T271" s="91">
        <f t="shared" si="177"/>
        <v>-9920</v>
      </c>
      <c r="U271" s="91">
        <f t="shared" si="177"/>
        <v>-11160</v>
      </c>
      <c r="V271" s="91">
        <f t="shared" si="177"/>
        <v>-8990</v>
      </c>
      <c r="W271" s="91">
        <f t="shared" si="177"/>
        <v>-7750</v>
      </c>
      <c r="X271" s="91">
        <f t="shared" si="177"/>
        <v>-6200</v>
      </c>
      <c r="Y271" s="91">
        <f t="shared" si="177"/>
        <v>-6200</v>
      </c>
      <c r="Z271" s="91">
        <f t="shared" si="177"/>
        <v>-6820</v>
      </c>
      <c r="AA271" s="91">
        <f t="shared" si="177"/>
        <v>-11160</v>
      </c>
      <c r="AB271" s="91">
        <f t="shared" si="177"/>
        <v>-12400</v>
      </c>
      <c r="AC271" s="91">
        <f t="shared" si="177"/>
        <v>-13950</v>
      </c>
      <c r="AD271" s="91">
        <f t="shared" si="177"/>
        <v>-16740</v>
      </c>
      <c r="AE271" s="10"/>
      <c r="AF271" s="10"/>
      <c r="AG271" s="10"/>
      <c r="AH271" s="10"/>
      <c r="AI271" s="10"/>
      <c r="AJ271" s="10"/>
      <c r="AK271" s="10"/>
      <c r="AL271" s="10"/>
      <c r="AM271" s="10"/>
    </row>
    <row r="272" spans="1:39" ht="15.75" hidden="1" customHeight="1" outlineLevel="1" x14ac:dyDescent="0.25">
      <c r="A272" s="16"/>
      <c r="B272" s="46" t="s">
        <v>52</v>
      </c>
      <c r="C272" s="55">
        <v>0.05</v>
      </c>
      <c r="D272" s="91">
        <f t="shared" ref="D272:AD272" si="178">-$C272*D120</f>
        <v>-263.5</v>
      </c>
      <c r="E272" s="91">
        <f t="shared" si="178"/>
        <v>-527</v>
      </c>
      <c r="F272" s="91">
        <f t="shared" si="178"/>
        <v>-658.75</v>
      </c>
      <c r="G272" s="91">
        <f t="shared" si="178"/>
        <v>-1185.75</v>
      </c>
      <c r="H272" s="91">
        <f t="shared" si="178"/>
        <v>-1185.75</v>
      </c>
      <c r="I272" s="91">
        <f t="shared" si="178"/>
        <v>-1844.5</v>
      </c>
      <c r="J272" s="91">
        <f t="shared" si="178"/>
        <v>-1712.75</v>
      </c>
      <c r="K272" s="91">
        <f t="shared" si="178"/>
        <v>-1449.25</v>
      </c>
      <c r="L272" s="91">
        <f t="shared" si="178"/>
        <v>-1185.75</v>
      </c>
      <c r="M272" s="91">
        <f t="shared" si="178"/>
        <v>-1185.75</v>
      </c>
      <c r="N272" s="91">
        <f t="shared" si="178"/>
        <v>-1449.25</v>
      </c>
      <c r="O272" s="91">
        <f t="shared" si="178"/>
        <v>-1844.5</v>
      </c>
      <c r="P272" s="91">
        <f t="shared" si="178"/>
        <v>-2371.5</v>
      </c>
      <c r="Q272" s="91">
        <f t="shared" si="178"/>
        <v>-2898.5</v>
      </c>
      <c r="R272" s="91">
        <f t="shared" si="178"/>
        <v>-3820.75</v>
      </c>
      <c r="S272" s="91">
        <f t="shared" si="178"/>
        <v>-3557.25</v>
      </c>
      <c r="T272" s="91">
        <f t="shared" si="178"/>
        <v>-4216</v>
      </c>
      <c r="U272" s="91">
        <f t="shared" si="178"/>
        <v>-4743</v>
      </c>
      <c r="V272" s="91">
        <f t="shared" si="178"/>
        <v>-3820.75</v>
      </c>
      <c r="W272" s="91">
        <f t="shared" si="178"/>
        <v>-3293.75</v>
      </c>
      <c r="X272" s="91">
        <f t="shared" si="178"/>
        <v>-2635</v>
      </c>
      <c r="Y272" s="91">
        <f t="shared" si="178"/>
        <v>-2635</v>
      </c>
      <c r="Z272" s="91">
        <f t="shared" si="178"/>
        <v>-2898.5</v>
      </c>
      <c r="AA272" s="91">
        <f t="shared" si="178"/>
        <v>-4743</v>
      </c>
      <c r="AB272" s="91">
        <f t="shared" si="178"/>
        <v>-5270</v>
      </c>
      <c r="AC272" s="91">
        <f t="shared" si="178"/>
        <v>-5928.75</v>
      </c>
      <c r="AD272" s="91">
        <f t="shared" si="178"/>
        <v>-7114.5</v>
      </c>
      <c r="AE272" s="10"/>
      <c r="AF272" s="10"/>
      <c r="AG272" s="10"/>
      <c r="AH272" s="10"/>
      <c r="AI272" s="10"/>
      <c r="AJ272" s="10"/>
      <c r="AK272" s="10"/>
      <c r="AL272" s="10"/>
      <c r="AM272" s="10"/>
    </row>
    <row r="273" spans="1:39" ht="15.75" hidden="1" customHeight="1" outlineLevel="1" x14ac:dyDescent="0.25">
      <c r="A273" s="16"/>
      <c r="B273" s="83" t="s">
        <v>57</v>
      </c>
      <c r="C273" s="55">
        <v>0.01</v>
      </c>
      <c r="D273" s="91">
        <f t="shared" ref="D273:AD273" si="179">-$C273*D120</f>
        <v>-52.7</v>
      </c>
      <c r="E273" s="91">
        <f t="shared" si="179"/>
        <v>-105.4</v>
      </c>
      <c r="F273" s="91">
        <f t="shared" si="179"/>
        <v>-131.75</v>
      </c>
      <c r="G273" s="91">
        <f t="shared" si="179"/>
        <v>-237.15</v>
      </c>
      <c r="H273" s="91">
        <f t="shared" si="179"/>
        <v>-237.15</v>
      </c>
      <c r="I273" s="91">
        <f t="shared" si="179"/>
        <v>-368.90000000000003</v>
      </c>
      <c r="J273" s="91">
        <f t="shared" si="179"/>
        <v>-342.55</v>
      </c>
      <c r="K273" s="91">
        <f t="shared" si="179"/>
        <v>-289.85000000000002</v>
      </c>
      <c r="L273" s="91">
        <f t="shared" si="179"/>
        <v>-237.15</v>
      </c>
      <c r="M273" s="91">
        <f t="shared" si="179"/>
        <v>-237.15</v>
      </c>
      <c r="N273" s="91">
        <f t="shared" si="179"/>
        <v>-289.85000000000002</v>
      </c>
      <c r="O273" s="91">
        <f t="shared" si="179"/>
        <v>-368.90000000000003</v>
      </c>
      <c r="P273" s="91">
        <f t="shared" si="179"/>
        <v>-474.3</v>
      </c>
      <c r="Q273" s="91">
        <f t="shared" si="179"/>
        <v>-579.70000000000005</v>
      </c>
      <c r="R273" s="91">
        <f t="shared" si="179"/>
        <v>-764.15</v>
      </c>
      <c r="S273" s="91">
        <f t="shared" si="179"/>
        <v>-711.45</v>
      </c>
      <c r="T273" s="91">
        <f t="shared" si="179"/>
        <v>-843.2</v>
      </c>
      <c r="U273" s="91">
        <f t="shared" si="179"/>
        <v>-948.6</v>
      </c>
      <c r="V273" s="91">
        <f t="shared" si="179"/>
        <v>-764.15</v>
      </c>
      <c r="W273" s="91">
        <f t="shared" si="179"/>
        <v>-658.75</v>
      </c>
      <c r="X273" s="91">
        <f t="shared" si="179"/>
        <v>-527</v>
      </c>
      <c r="Y273" s="91">
        <f t="shared" si="179"/>
        <v>-527</v>
      </c>
      <c r="Z273" s="91">
        <f t="shared" si="179"/>
        <v>-579.70000000000005</v>
      </c>
      <c r="AA273" s="91">
        <f t="shared" si="179"/>
        <v>-948.6</v>
      </c>
      <c r="AB273" s="91">
        <f t="shared" si="179"/>
        <v>-1054</v>
      </c>
      <c r="AC273" s="91">
        <f t="shared" si="179"/>
        <v>-1185.75</v>
      </c>
      <c r="AD273" s="91">
        <f t="shared" si="179"/>
        <v>-1422.9</v>
      </c>
      <c r="AE273" s="10"/>
      <c r="AF273" s="10"/>
      <c r="AG273" s="10"/>
      <c r="AH273" s="10"/>
      <c r="AI273" s="10"/>
      <c r="AJ273" s="10"/>
      <c r="AK273" s="10"/>
      <c r="AL273" s="10"/>
      <c r="AM273" s="10"/>
    </row>
    <row r="274" spans="1:39" ht="15.75" hidden="1" customHeight="1" outlineLevel="1" x14ac:dyDescent="0.25">
      <c r="A274" s="16"/>
      <c r="B274" s="46" t="s">
        <v>54</v>
      </c>
      <c r="C274" s="50">
        <v>60</v>
      </c>
      <c r="D274" s="91">
        <f t="shared" ref="D274:AD274" si="180">-$C274*D128</f>
        <v>-120</v>
      </c>
      <c r="E274" s="91">
        <f t="shared" si="180"/>
        <v>-240</v>
      </c>
      <c r="F274" s="91">
        <f t="shared" si="180"/>
        <v>-300</v>
      </c>
      <c r="G274" s="91">
        <f t="shared" si="180"/>
        <v>-540</v>
      </c>
      <c r="H274" s="91">
        <f t="shared" si="180"/>
        <v>-540</v>
      </c>
      <c r="I274" s="91">
        <f t="shared" si="180"/>
        <v>-840</v>
      </c>
      <c r="J274" s="91">
        <f t="shared" si="180"/>
        <v>-780</v>
      </c>
      <c r="K274" s="91">
        <f t="shared" si="180"/>
        <v>-660</v>
      </c>
      <c r="L274" s="91">
        <f t="shared" si="180"/>
        <v>-540</v>
      </c>
      <c r="M274" s="91">
        <f t="shared" si="180"/>
        <v>-540</v>
      </c>
      <c r="N274" s="91">
        <f t="shared" si="180"/>
        <v>-660</v>
      </c>
      <c r="O274" s="91">
        <f t="shared" si="180"/>
        <v>-840</v>
      </c>
      <c r="P274" s="91">
        <f t="shared" si="180"/>
        <v>-1080</v>
      </c>
      <c r="Q274" s="91">
        <f t="shared" si="180"/>
        <v>-1320</v>
      </c>
      <c r="R274" s="91">
        <f t="shared" si="180"/>
        <v>-1740</v>
      </c>
      <c r="S274" s="91">
        <f t="shared" si="180"/>
        <v>-1620</v>
      </c>
      <c r="T274" s="91">
        <f t="shared" si="180"/>
        <v>-1920</v>
      </c>
      <c r="U274" s="91">
        <f t="shared" si="180"/>
        <v>-2160</v>
      </c>
      <c r="V274" s="91">
        <f t="shared" si="180"/>
        <v>-1740</v>
      </c>
      <c r="W274" s="91">
        <f t="shared" si="180"/>
        <v>-1500</v>
      </c>
      <c r="X274" s="91">
        <f t="shared" si="180"/>
        <v>-1200</v>
      </c>
      <c r="Y274" s="91">
        <f t="shared" si="180"/>
        <v>-1200</v>
      </c>
      <c r="Z274" s="91">
        <f t="shared" si="180"/>
        <v>-1320</v>
      </c>
      <c r="AA274" s="91">
        <f t="shared" si="180"/>
        <v>-2160</v>
      </c>
      <c r="AB274" s="91">
        <f t="shared" si="180"/>
        <v>-2400</v>
      </c>
      <c r="AC274" s="91">
        <f t="shared" si="180"/>
        <v>-2700</v>
      </c>
      <c r="AD274" s="91">
        <f t="shared" si="180"/>
        <v>-3240</v>
      </c>
      <c r="AE274" s="10"/>
      <c r="AF274" s="10"/>
      <c r="AG274" s="10"/>
      <c r="AH274" s="10"/>
      <c r="AI274" s="10"/>
      <c r="AJ274" s="10"/>
      <c r="AK274" s="10"/>
      <c r="AL274" s="10"/>
      <c r="AM274" s="10"/>
    </row>
    <row r="275" spans="1:39" ht="15.75" customHeight="1" collapsed="1" x14ac:dyDescent="0.2">
      <c r="A275" s="84"/>
      <c r="B275" s="78" t="s">
        <v>45</v>
      </c>
      <c r="C275" s="85"/>
      <c r="D275" s="86">
        <f t="shared" ref="D275:AD275" si="181">SUM(D276:D280)</f>
        <v>-2516.8000000000002</v>
      </c>
      <c r="E275" s="86">
        <f t="shared" si="181"/>
        <v>-5033.6000000000004</v>
      </c>
      <c r="F275" s="86">
        <f t="shared" si="181"/>
        <v>-6292</v>
      </c>
      <c r="G275" s="86">
        <f t="shared" si="181"/>
        <v>-11325.6</v>
      </c>
      <c r="H275" s="86">
        <f t="shared" si="181"/>
        <v>-11325.6</v>
      </c>
      <c r="I275" s="86">
        <f t="shared" si="181"/>
        <v>-17617.599999999999</v>
      </c>
      <c r="J275" s="86">
        <f t="shared" si="181"/>
        <v>-16359.2</v>
      </c>
      <c r="K275" s="86">
        <f t="shared" si="181"/>
        <v>-13842.4</v>
      </c>
      <c r="L275" s="86">
        <f t="shared" si="181"/>
        <v>-11325.6</v>
      </c>
      <c r="M275" s="86">
        <f t="shared" si="181"/>
        <v>-11325.6</v>
      </c>
      <c r="N275" s="86">
        <f t="shared" si="181"/>
        <v>-13842.4</v>
      </c>
      <c r="O275" s="86">
        <f t="shared" si="181"/>
        <v>-17617.599999999999</v>
      </c>
      <c r="P275" s="86">
        <f t="shared" si="181"/>
        <v>-22651.200000000001</v>
      </c>
      <c r="Q275" s="86">
        <f t="shared" si="181"/>
        <v>-27684.799999999999</v>
      </c>
      <c r="R275" s="86">
        <f t="shared" si="181"/>
        <v>-36493.599999999999</v>
      </c>
      <c r="S275" s="86">
        <f t="shared" si="181"/>
        <v>-33976.800000000003</v>
      </c>
      <c r="T275" s="86">
        <f t="shared" si="181"/>
        <v>-40268.800000000003</v>
      </c>
      <c r="U275" s="86">
        <f t="shared" si="181"/>
        <v>-45302.400000000001</v>
      </c>
      <c r="V275" s="86">
        <f t="shared" si="181"/>
        <v>-36493.599999999999</v>
      </c>
      <c r="W275" s="86">
        <f t="shared" si="181"/>
        <v>-31460</v>
      </c>
      <c r="X275" s="86">
        <f t="shared" si="181"/>
        <v>-25168</v>
      </c>
      <c r="Y275" s="86">
        <f t="shared" si="181"/>
        <v>-25168</v>
      </c>
      <c r="Z275" s="86">
        <f t="shared" si="181"/>
        <v>-27684.799999999999</v>
      </c>
      <c r="AA275" s="86">
        <f t="shared" si="181"/>
        <v>-45302.400000000001</v>
      </c>
      <c r="AB275" s="86">
        <f t="shared" si="181"/>
        <v>-50336</v>
      </c>
      <c r="AC275" s="86">
        <f t="shared" si="181"/>
        <v>-56628</v>
      </c>
      <c r="AD275" s="86">
        <f t="shared" si="181"/>
        <v>-67953.600000000006</v>
      </c>
      <c r="AE275" s="87"/>
      <c r="AF275" s="87"/>
      <c r="AG275" s="87"/>
      <c r="AH275" s="87"/>
      <c r="AI275" s="87"/>
      <c r="AJ275" s="87"/>
      <c r="AK275" s="87"/>
      <c r="AL275" s="87"/>
      <c r="AM275" s="87"/>
    </row>
    <row r="276" spans="1:39" ht="15.75" hidden="1" customHeight="1" outlineLevel="1" x14ac:dyDescent="0.25">
      <c r="A276" s="16"/>
      <c r="B276" s="46" t="s">
        <v>56</v>
      </c>
      <c r="C276" s="55">
        <v>0.4</v>
      </c>
      <c r="D276" s="91">
        <f t="shared" ref="D276:AD276" si="182">-D130*$C276</f>
        <v>-1632</v>
      </c>
      <c r="E276" s="91">
        <f t="shared" si="182"/>
        <v>-3264</v>
      </c>
      <c r="F276" s="91">
        <f t="shared" si="182"/>
        <v>-4080</v>
      </c>
      <c r="G276" s="91">
        <f t="shared" si="182"/>
        <v>-7344</v>
      </c>
      <c r="H276" s="91">
        <f t="shared" si="182"/>
        <v>-7344</v>
      </c>
      <c r="I276" s="91">
        <f t="shared" si="182"/>
        <v>-11424</v>
      </c>
      <c r="J276" s="91">
        <f t="shared" si="182"/>
        <v>-10608</v>
      </c>
      <c r="K276" s="91">
        <f t="shared" si="182"/>
        <v>-8976</v>
      </c>
      <c r="L276" s="91">
        <f t="shared" si="182"/>
        <v>-7344</v>
      </c>
      <c r="M276" s="91">
        <f t="shared" si="182"/>
        <v>-7344</v>
      </c>
      <c r="N276" s="91">
        <f t="shared" si="182"/>
        <v>-8976</v>
      </c>
      <c r="O276" s="91">
        <f t="shared" si="182"/>
        <v>-11424</v>
      </c>
      <c r="P276" s="91">
        <f t="shared" si="182"/>
        <v>-14688</v>
      </c>
      <c r="Q276" s="91">
        <f t="shared" si="182"/>
        <v>-17952</v>
      </c>
      <c r="R276" s="91">
        <f t="shared" si="182"/>
        <v>-23664</v>
      </c>
      <c r="S276" s="91">
        <f t="shared" si="182"/>
        <v>-22032</v>
      </c>
      <c r="T276" s="91">
        <f t="shared" si="182"/>
        <v>-26112</v>
      </c>
      <c r="U276" s="91">
        <f t="shared" si="182"/>
        <v>-29376</v>
      </c>
      <c r="V276" s="91">
        <f t="shared" si="182"/>
        <v>-23664</v>
      </c>
      <c r="W276" s="91">
        <f t="shared" si="182"/>
        <v>-20400</v>
      </c>
      <c r="X276" s="91">
        <f t="shared" si="182"/>
        <v>-16320</v>
      </c>
      <c r="Y276" s="91">
        <f t="shared" si="182"/>
        <v>-16320</v>
      </c>
      <c r="Z276" s="91">
        <f t="shared" si="182"/>
        <v>-17952</v>
      </c>
      <c r="AA276" s="91">
        <f t="shared" si="182"/>
        <v>-29376</v>
      </c>
      <c r="AB276" s="91">
        <f t="shared" si="182"/>
        <v>-32640</v>
      </c>
      <c r="AC276" s="91">
        <f t="shared" si="182"/>
        <v>-36720</v>
      </c>
      <c r="AD276" s="91">
        <f t="shared" si="182"/>
        <v>-44064</v>
      </c>
      <c r="AE276" s="10"/>
      <c r="AF276" s="10"/>
      <c r="AG276" s="10"/>
      <c r="AH276" s="10"/>
      <c r="AI276" s="10"/>
      <c r="AJ276" s="10"/>
      <c r="AK276" s="10"/>
      <c r="AL276" s="10"/>
      <c r="AM276" s="10"/>
    </row>
    <row r="277" spans="1:39" ht="15.75" hidden="1" customHeight="1" outlineLevel="1" x14ac:dyDescent="0.25">
      <c r="A277" s="16"/>
      <c r="B277" s="81" t="s">
        <v>51</v>
      </c>
      <c r="C277" s="50">
        <v>240</v>
      </c>
      <c r="D277" s="91">
        <f t="shared" ref="D277:AD277" si="183">-$C277*D138</f>
        <v>-480</v>
      </c>
      <c r="E277" s="91">
        <f t="shared" si="183"/>
        <v>-960</v>
      </c>
      <c r="F277" s="91">
        <f t="shared" si="183"/>
        <v>-1200</v>
      </c>
      <c r="G277" s="91">
        <f t="shared" si="183"/>
        <v>-2160</v>
      </c>
      <c r="H277" s="91">
        <f t="shared" si="183"/>
        <v>-2160</v>
      </c>
      <c r="I277" s="91">
        <f t="shared" si="183"/>
        <v>-3360</v>
      </c>
      <c r="J277" s="91">
        <f t="shared" si="183"/>
        <v>-3120</v>
      </c>
      <c r="K277" s="91">
        <f t="shared" si="183"/>
        <v>-2640</v>
      </c>
      <c r="L277" s="91">
        <f t="shared" si="183"/>
        <v>-2160</v>
      </c>
      <c r="M277" s="91">
        <f t="shared" si="183"/>
        <v>-2160</v>
      </c>
      <c r="N277" s="91">
        <f t="shared" si="183"/>
        <v>-2640</v>
      </c>
      <c r="O277" s="91">
        <f t="shared" si="183"/>
        <v>-3360</v>
      </c>
      <c r="P277" s="91">
        <f t="shared" si="183"/>
        <v>-4320</v>
      </c>
      <c r="Q277" s="91">
        <f t="shared" si="183"/>
        <v>-5280</v>
      </c>
      <c r="R277" s="91">
        <f t="shared" si="183"/>
        <v>-6960</v>
      </c>
      <c r="S277" s="91">
        <f t="shared" si="183"/>
        <v>-6480</v>
      </c>
      <c r="T277" s="91">
        <f t="shared" si="183"/>
        <v>-7680</v>
      </c>
      <c r="U277" s="91">
        <f t="shared" si="183"/>
        <v>-8640</v>
      </c>
      <c r="V277" s="91">
        <f t="shared" si="183"/>
        <v>-6960</v>
      </c>
      <c r="W277" s="91">
        <f t="shared" si="183"/>
        <v>-6000</v>
      </c>
      <c r="X277" s="91">
        <f t="shared" si="183"/>
        <v>-4800</v>
      </c>
      <c r="Y277" s="91">
        <f t="shared" si="183"/>
        <v>-4800</v>
      </c>
      <c r="Z277" s="91">
        <f t="shared" si="183"/>
        <v>-5280</v>
      </c>
      <c r="AA277" s="91">
        <f t="shared" si="183"/>
        <v>-8640</v>
      </c>
      <c r="AB277" s="91">
        <f t="shared" si="183"/>
        <v>-9600</v>
      </c>
      <c r="AC277" s="91">
        <f t="shared" si="183"/>
        <v>-10800</v>
      </c>
      <c r="AD277" s="91">
        <f t="shared" si="183"/>
        <v>-12960</v>
      </c>
      <c r="AE277" s="10"/>
      <c r="AF277" s="10"/>
      <c r="AG277" s="10"/>
      <c r="AH277" s="10"/>
      <c r="AI277" s="10"/>
      <c r="AJ277" s="10"/>
      <c r="AK277" s="10"/>
      <c r="AL277" s="10"/>
      <c r="AM277" s="10"/>
    </row>
    <row r="278" spans="1:39" ht="15.75" hidden="1" customHeight="1" outlineLevel="1" x14ac:dyDescent="0.25">
      <c r="A278" s="16"/>
      <c r="B278" s="46" t="s">
        <v>52</v>
      </c>
      <c r="C278" s="55">
        <v>0.05</v>
      </c>
      <c r="D278" s="91">
        <f t="shared" ref="D278:AD278" si="184">-$C278*D130</f>
        <v>-204</v>
      </c>
      <c r="E278" s="91">
        <f t="shared" si="184"/>
        <v>-408</v>
      </c>
      <c r="F278" s="91">
        <f t="shared" si="184"/>
        <v>-510</v>
      </c>
      <c r="G278" s="91">
        <f t="shared" si="184"/>
        <v>-918</v>
      </c>
      <c r="H278" s="91">
        <f t="shared" si="184"/>
        <v>-918</v>
      </c>
      <c r="I278" s="91">
        <f t="shared" si="184"/>
        <v>-1428</v>
      </c>
      <c r="J278" s="91">
        <f t="shared" si="184"/>
        <v>-1326</v>
      </c>
      <c r="K278" s="91">
        <f t="shared" si="184"/>
        <v>-1122</v>
      </c>
      <c r="L278" s="91">
        <f t="shared" si="184"/>
        <v>-918</v>
      </c>
      <c r="M278" s="91">
        <f t="shared" si="184"/>
        <v>-918</v>
      </c>
      <c r="N278" s="91">
        <f t="shared" si="184"/>
        <v>-1122</v>
      </c>
      <c r="O278" s="91">
        <f t="shared" si="184"/>
        <v>-1428</v>
      </c>
      <c r="P278" s="91">
        <f t="shared" si="184"/>
        <v>-1836</v>
      </c>
      <c r="Q278" s="91">
        <f t="shared" si="184"/>
        <v>-2244</v>
      </c>
      <c r="R278" s="91">
        <f t="shared" si="184"/>
        <v>-2958</v>
      </c>
      <c r="S278" s="91">
        <f t="shared" si="184"/>
        <v>-2754</v>
      </c>
      <c r="T278" s="91">
        <f t="shared" si="184"/>
        <v>-3264</v>
      </c>
      <c r="U278" s="91">
        <f t="shared" si="184"/>
        <v>-3672</v>
      </c>
      <c r="V278" s="91">
        <f t="shared" si="184"/>
        <v>-2958</v>
      </c>
      <c r="W278" s="91">
        <f t="shared" si="184"/>
        <v>-2550</v>
      </c>
      <c r="X278" s="91">
        <f t="shared" si="184"/>
        <v>-2040</v>
      </c>
      <c r="Y278" s="91">
        <f t="shared" si="184"/>
        <v>-2040</v>
      </c>
      <c r="Z278" s="91">
        <f t="shared" si="184"/>
        <v>-2244</v>
      </c>
      <c r="AA278" s="91">
        <f t="shared" si="184"/>
        <v>-3672</v>
      </c>
      <c r="AB278" s="91">
        <f t="shared" si="184"/>
        <v>-4080</v>
      </c>
      <c r="AC278" s="91">
        <f t="shared" si="184"/>
        <v>-4590</v>
      </c>
      <c r="AD278" s="91">
        <f t="shared" si="184"/>
        <v>-5508</v>
      </c>
      <c r="AE278" s="10"/>
      <c r="AF278" s="10"/>
      <c r="AG278" s="10"/>
      <c r="AH278" s="10"/>
      <c r="AI278" s="10"/>
      <c r="AJ278" s="10"/>
      <c r="AK278" s="10"/>
      <c r="AL278" s="10"/>
      <c r="AM278" s="10"/>
    </row>
    <row r="279" spans="1:39" ht="15.75" hidden="1" customHeight="1" outlineLevel="1" x14ac:dyDescent="0.25">
      <c r="A279" s="16"/>
      <c r="B279" s="83" t="s">
        <v>57</v>
      </c>
      <c r="C279" s="55">
        <v>0.01</v>
      </c>
      <c r="D279" s="91">
        <f t="shared" ref="D279:AD279" si="185">-$C279*D130</f>
        <v>-40.800000000000004</v>
      </c>
      <c r="E279" s="91">
        <f t="shared" si="185"/>
        <v>-81.600000000000009</v>
      </c>
      <c r="F279" s="91">
        <f t="shared" si="185"/>
        <v>-102</v>
      </c>
      <c r="G279" s="91">
        <f t="shared" si="185"/>
        <v>-183.6</v>
      </c>
      <c r="H279" s="91">
        <f t="shared" si="185"/>
        <v>-183.6</v>
      </c>
      <c r="I279" s="91">
        <f t="shared" si="185"/>
        <v>-285.60000000000002</v>
      </c>
      <c r="J279" s="91">
        <f t="shared" si="185"/>
        <v>-265.2</v>
      </c>
      <c r="K279" s="91">
        <f t="shared" si="185"/>
        <v>-224.4</v>
      </c>
      <c r="L279" s="91">
        <f t="shared" si="185"/>
        <v>-183.6</v>
      </c>
      <c r="M279" s="91">
        <f t="shared" si="185"/>
        <v>-183.6</v>
      </c>
      <c r="N279" s="91">
        <f t="shared" si="185"/>
        <v>-224.4</v>
      </c>
      <c r="O279" s="91">
        <f t="shared" si="185"/>
        <v>-285.60000000000002</v>
      </c>
      <c r="P279" s="91">
        <f t="shared" si="185"/>
        <v>-367.2</v>
      </c>
      <c r="Q279" s="91">
        <f t="shared" si="185"/>
        <v>-448.8</v>
      </c>
      <c r="R279" s="91">
        <f t="shared" si="185"/>
        <v>-591.6</v>
      </c>
      <c r="S279" s="91">
        <f t="shared" si="185"/>
        <v>-550.80000000000007</v>
      </c>
      <c r="T279" s="91">
        <f t="shared" si="185"/>
        <v>-652.80000000000007</v>
      </c>
      <c r="U279" s="91">
        <f t="shared" si="185"/>
        <v>-734.4</v>
      </c>
      <c r="V279" s="91">
        <f t="shared" si="185"/>
        <v>-591.6</v>
      </c>
      <c r="W279" s="91">
        <f t="shared" si="185"/>
        <v>-510</v>
      </c>
      <c r="X279" s="91">
        <f t="shared" si="185"/>
        <v>-408</v>
      </c>
      <c r="Y279" s="91">
        <f t="shared" si="185"/>
        <v>-408</v>
      </c>
      <c r="Z279" s="91">
        <f t="shared" si="185"/>
        <v>-448.8</v>
      </c>
      <c r="AA279" s="91">
        <f t="shared" si="185"/>
        <v>-734.4</v>
      </c>
      <c r="AB279" s="91">
        <f t="shared" si="185"/>
        <v>-816</v>
      </c>
      <c r="AC279" s="91">
        <f t="shared" si="185"/>
        <v>-918</v>
      </c>
      <c r="AD279" s="91">
        <f t="shared" si="185"/>
        <v>-1101.6000000000001</v>
      </c>
      <c r="AE279" s="10"/>
      <c r="AF279" s="10"/>
      <c r="AG279" s="10"/>
      <c r="AH279" s="10"/>
      <c r="AI279" s="10"/>
      <c r="AJ279" s="10"/>
      <c r="AK279" s="10"/>
      <c r="AL279" s="10"/>
      <c r="AM279" s="10"/>
    </row>
    <row r="280" spans="1:39" ht="15.75" hidden="1" customHeight="1" outlineLevel="1" x14ac:dyDescent="0.25">
      <c r="A280" s="16"/>
      <c r="B280" s="46" t="s">
        <v>54</v>
      </c>
      <c r="C280" s="50">
        <v>80</v>
      </c>
      <c r="D280" s="91">
        <f t="shared" ref="D280:AD280" si="186">-$C280*D138</f>
        <v>-160</v>
      </c>
      <c r="E280" s="91">
        <f t="shared" si="186"/>
        <v>-320</v>
      </c>
      <c r="F280" s="91">
        <f t="shared" si="186"/>
        <v>-400</v>
      </c>
      <c r="G280" s="91">
        <f t="shared" si="186"/>
        <v>-720</v>
      </c>
      <c r="H280" s="91">
        <f t="shared" si="186"/>
        <v>-720</v>
      </c>
      <c r="I280" s="91">
        <f t="shared" si="186"/>
        <v>-1120</v>
      </c>
      <c r="J280" s="91">
        <f t="shared" si="186"/>
        <v>-1040</v>
      </c>
      <c r="K280" s="91">
        <f t="shared" si="186"/>
        <v>-880</v>
      </c>
      <c r="L280" s="91">
        <f t="shared" si="186"/>
        <v>-720</v>
      </c>
      <c r="M280" s="91">
        <f t="shared" si="186"/>
        <v>-720</v>
      </c>
      <c r="N280" s="91">
        <f t="shared" si="186"/>
        <v>-880</v>
      </c>
      <c r="O280" s="91">
        <f t="shared" si="186"/>
        <v>-1120</v>
      </c>
      <c r="P280" s="91">
        <f t="shared" si="186"/>
        <v>-1440</v>
      </c>
      <c r="Q280" s="91">
        <f t="shared" si="186"/>
        <v>-1760</v>
      </c>
      <c r="R280" s="91">
        <f t="shared" si="186"/>
        <v>-2320</v>
      </c>
      <c r="S280" s="91">
        <f t="shared" si="186"/>
        <v>-2160</v>
      </c>
      <c r="T280" s="91">
        <f t="shared" si="186"/>
        <v>-2560</v>
      </c>
      <c r="U280" s="91">
        <f t="shared" si="186"/>
        <v>-2880</v>
      </c>
      <c r="V280" s="91">
        <f t="shared" si="186"/>
        <v>-2320</v>
      </c>
      <c r="W280" s="91">
        <f t="shared" si="186"/>
        <v>-2000</v>
      </c>
      <c r="X280" s="91">
        <f t="shared" si="186"/>
        <v>-1600</v>
      </c>
      <c r="Y280" s="91">
        <f t="shared" si="186"/>
        <v>-1600</v>
      </c>
      <c r="Z280" s="91">
        <f t="shared" si="186"/>
        <v>-1760</v>
      </c>
      <c r="AA280" s="91">
        <f t="shared" si="186"/>
        <v>-2880</v>
      </c>
      <c r="AB280" s="91">
        <f t="shared" si="186"/>
        <v>-3200</v>
      </c>
      <c r="AC280" s="91">
        <f t="shared" si="186"/>
        <v>-3600</v>
      </c>
      <c r="AD280" s="91">
        <f t="shared" si="186"/>
        <v>-4320</v>
      </c>
      <c r="AE280" s="10"/>
      <c r="AF280" s="10"/>
      <c r="AG280" s="10"/>
      <c r="AH280" s="10"/>
      <c r="AI280" s="10"/>
      <c r="AJ280" s="10"/>
      <c r="AK280" s="10"/>
      <c r="AL280" s="10"/>
      <c r="AM280" s="10"/>
    </row>
    <row r="281" spans="1:39" ht="15.75" customHeight="1" collapsed="1" x14ac:dyDescent="0.25">
      <c r="A281" s="84"/>
      <c r="B281" s="541" t="s">
        <v>440</v>
      </c>
      <c r="C281" s="85"/>
      <c r="D281" s="86">
        <f t="shared" ref="D281:AD281" si="187">SUM(D282:D286)</f>
        <v>-4924.8</v>
      </c>
      <c r="E281" s="86">
        <f t="shared" si="187"/>
        <v>-9849.6</v>
      </c>
      <c r="F281" s="86">
        <f t="shared" si="187"/>
        <v>-12312</v>
      </c>
      <c r="G281" s="86">
        <f t="shared" si="187"/>
        <v>-22161.599999999999</v>
      </c>
      <c r="H281" s="86">
        <f t="shared" si="187"/>
        <v>-22161.599999999999</v>
      </c>
      <c r="I281" s="86">
        <f t="shared" si="187"/>
        <v>-34473.599999999999</v>
      </c>
      <c r="J281" s="86">
        <f t="shared" si="187"/>
        <v>-32011.200000000001</v>
      </c>
      <c r="K281" s="86">
        <f t="shared" si="187"/>
        <v>-27086.400000000001</v>
      </c>
      <c r="L281" s="86">
        <f t="shared" si="187"/>
        <v>-22161.599999999999</v>
      </c>
      <c r="M281" s="86">
        <f t="shared" si="187"/>
        <v>-22161.599999999999</v>
      </c>
      <c r="N281" s="86">
        <f t="shared" si="187"/>
        <v>-27086.400000000001</v>
      </c>
      <c r="O281" s="86">
        <f t="shared" si="187"/>
        <v>-34473.599999999999</v>
      </c>
      <c r="P281" s="86">
        <f t="shared" si="187"/>
        <v>-44323.199999999997</v>
      </c>
      <c r="Q281" s="86">
        <f t="shared" si="187"/>
        <v>-54172.800000000003</v>
      </c>
      <c r="R281" s="86">
        <f t="shared" si="187"/>
        <v>-71409.600000000006</v>
      </c>
      <c r="S281" s="86">
        <f t="shared" si="187"/>
        <v>-66484.800000000003</v>
      </c>
      <c r="T281" s="86">
        <f t="shared" si="187"/>
        <v>-78796.800000000003</v>
      </c>
      <c r="U281" s="86">
        <f t="shared" si="187"/>
        <v>-88646.399999999994</v>
      </c>
      <c r="V281" s="86">
        <f t="shared" si="187"/>
        <v>-71409.600000000006</v>
      </c>
      <c r="W281" s="86">
        <f t="shared" si="187"/>
        <v>-61560</v>
      </c>
      <c r="X281" s="86">
        <f t="shared" si="187"/>
        <v>-49248</v>
      </c>
      <c r="Y281" s="86">
        <f t="shared" si="187"/>
        <v>-49248</v>
      </c>
      <c r="Z281" s="86">
        <f t="shared" si="187"/>
        <v>-54172.800000000003</v>
      </c>
      <c r="AA281" s="86">
        <f t="shared" si="187"/>
        <v>-88646.399999999994</v>
      </c>
      <c r="AB281" s="86">
        <f t="shared" si="187"/>
        <v>-98496</v>
      </c>
      <c r="AC281" s="86">
        <f t="shared" si="187"/>
        <v>-110808</v>
      </c>
      <c r="AD281" s="86">
        <f t="shared" si="187"/>
        <v>-132969.60000000001</v>
      </c>
      <c r="AE281" s="87"/>
      <c r="AF281" s="87"/>
      <c r="AG281" s="87"/>
      <c r="AH281" s="87"/>
      <c r="AI281" s="87"/>
      <c r="AJ281" s="87"/>
      <c r="AK281" s="87"/>
      <c r="AL281" s="87"/>
      <c r="AM281" s="87"/>
    </row>
    <row r="282" spans="1:39" ht="15.75" hidden="1" customHeight="1" outlineLevel="1" x14ac:dyDescent="0.25">
      <c r="A282" s="16"/>
      <c r="B282" s="46" t="s">
        <v>56</v>
      </c>
      <c r="C282" s="55">
        <v>0.4</v>
      </c>
      <c r="D282" s="91">
        <f t="shared" ref="D282:AD282" si="188">-D140*$C282</f>
        <v>-3360</v>
      </c>
      <c r="E282" s="91">
        <f t="shared" si="188"/>
        <v>-6720</v>
      </c>
      <c r="F282" s="91">
        <f t="shared" si="188"/>
        <v>-8400</v>
      </c>
      <c r="G282" s="91">
        <f t="shared" si="188"/>
        <v>-15120</v>
      </c>
      <c r="H282" s="91">
        <f t="shared" si="188"/>
        <v>-15120</v>
      </c>
      <c r="I282" s="91">
        <f t="shared" si="188"/>
        <v>-23520</v>
      </c>
      <c r="J282" s="91">
        <f t="shared" si="188"/>
        <v>-21840</v>
      </c>
      <c r="K282" s="91">
        <f t="shared" si="188"/>
        <v>-18480</v>
      </c>
      <c r="L282" s="91">
        <f t="shared" si="188"/>
        <v>-15120</v>
      </c>
      <c r="M282" s="91">
        <f t="shared" si="188"/>
        <v>-15120</v>
      </c>
      <c r="N282" s="91">
        <f t="shared" si="188"/>
        <v>-18480</v>
      </c>
      <c r="O282" s="91">
        <f t="shared" si="188"/>
        <v>-23520</v>
      </c>
      <c r="P282" s="91">
        <f t="shared" si="188"/>
        <v>-30240</v>
      </c>
      <c r="Q282" s="91">
        <f t="shared" si="188"/>
        <v>-36960</v>
      </c>
      <c r="R282" s="91">
        <f t="shared" si="188"/>
        <v>-48720</v>
      </c>
      <c r="S282" s="91">
        <f t="shared" si="188"/>
        <v>-45360</v>
      </c>
      <c r="T282" s="91">
        <f t="shared" si="188"/>
        <v>-53760</v>
      </c>
      <c r="U282" s="91">
        <f t="shared" si="188"/>
        <v>-60480</v>
      </c>
      <c r="V282" s="91">
        <f t="shared" si="188"/>
        <v>-48720</v>
      </c>
      <c r="W282" s="91">
        <f t="shared" si="188"/>
        <v>-42000</v>
      </c>
      <c r="X282" s="91">
        <f t="shared" si="188"/>
        <v>-33600</v>
      </c>
      <c r="Y282" s="91">
        <f t="shared" si="188"/>
        <v>-33600</v>
      </c>
      <c r="Z282" s="91">
        <f t="shared" si="188"/>
        <v>-36960</v>
      </c>
      <c r="AA282" s="91">
        <f t="shared" si="188"/>
        <v>-60480</v>
      </c>
      <c r="AB282" s="91">
        <f t="shared" si="188"/>
        <v>-67200</v>
      </c>
      <c r="AC282" s="91">
        <f t="shared" si="188"/>
        <v>-75600</v>
      </c>
      <c r="AD282" s="91">
        <f t="shared" si="188"/>
        <v>-90720</v>
      </c>
      <c r="AE282" s="10"/>
      <c r="AF282" s="10"/>
      <c r="AG282" s="10"/>
      <c r="AH282" s="10"/>
      <c r="AI282" s="10"/>
      <c r="AJ282" s="10"/>
      <c r="AK282" s="10"/>
      <c r="AL282" s="10"/>
      <c r="AM282" s="10"/>
    </row>
    <row r="283" spans="1:39" ht="15.75" hidden="1" customHeight="1" outlineLevel="1" x14ac:dyDescent="0.25">
      <c r="A283" s="16"/>
      <c r="B283" s="81" t="s">
        <v>51</v>
      </c>
      <c r="C283" s="50">
        <v>600</v>
      </c>
      <c r="D283" s="91">
        <f t="shared" ref="D283:AD283" si="189">-$C283*D148</f>
        <v>-1200</v>
      </c>
      <c r="E283" s="91">
        <f t="shared" si="189"/>
        <v>-2400</v>
      </c>
      <c r="F283" s="91">
        <f t="shared" si="189"/>
        <v>-3000</v>
      </c>
      <c r="G283" s="91">
        <f t="shared" si="189"/>
        <v>-5400</v>
      </c>
      <c r="H283" s="91">
        <f t="shared" si="189"/>
        <v>-5400</v>
      </c>
      <c r="I283" s="91">
        <f t="shared" si="189"/>
        <v>-8400</v>
      </c>
      <c r="J283" s="91">
        <f t="shared" si="189"/>
        <v>-7800</v>
      </c>
      <c r="K283" s="91">
        <f t="shared" si="189"/>
        <v>-6600</v>
      </c>
      <c r="L283" s="91">
        <f t="shared" si="189"/>
        <v>-5400</v>
      </c>
      <c r="M283" s="91">
        <f t="shared" si="189"/>
        <v>-5400</v>
      </c>
      <c r="N283" s="91">
        <f t="shared" si="189"/>
        <v>-6600</v>
      </c>
      <c r="O283" s="91">
        <f t="shared" si="189"/>
        <v>-8400</v>
      </c>
      <c r="P283" s="91">
        <f t="shared" si="189"/>
        <v>-10800</v>
      </c>
      <c r="Q283" s="91">
        <f t="shared" si="189"/>
        <v>-13200</v>
      </c>
      <c r="R283" s="91">
        <f t="shared" si="189"/>
        <v>-17400</v>
      </c>
      <c r="S283" s="91">
        <f t="shared" si="189"/>
        <v>-16200</v>
      </c>
      <c r="T283" s="91">
        <f t="shared" si="189"/>
        <v>-19200</v>
      </c>
      <c r="U283" s="91">
        <f t="shared" si="189"/>
        <v>-21600</v>
      </c>
      <c r="V283" s="91">
        <f t="shared" si="189"/>
        <v>-17400</v>
      </c>
      <c r="W283" s="91">
        <f t="shared" si="189"/>
        <v>-15000</v>
      </c>
      <c r="X283" s="91">
        <f t="shared" si="189"/>
        <v>-12000</v>
      </c>
      <c r="Y283" s="91">
        <f t="shared" si="189"/>
        <v>-12000</v>
      </c>
      <c r="Z283" s="91">
        <f t="shared" si="189"/>
        <v>-13200</v>
      </c>
      <c r="AA283" s="91">
        <f t="shared" si="189"/>
        <v>-21600</v>
      </c>
      <c r="AB283" s="91">
        <f t="shared" si="189"/>
        <v>-24000</v>
      </c>
      <c r="AC283" s="91">
        <f t="shared" si="189"/>
        <v>-27000</v>
      </c>
      <c r="AD283" s="91">
        <f t="shared" si="189"/>
        <v>-32400</v>
      </c>
      <c r="AE283" s="10"/>
      <c r="AF283" s="10"/>
      <c r="AG283" s="10"/>
      <c r="AH283" s="10"/>
      <c r="AI283" s="10"/>
      <c r="AJ283" s="10"/>
      <c r="AK283" s="10"/>
      <c r="AL283" s="10"/>
      <c r="AM283" s="10"/>
    </row>
    <row r="284" spans="1:39" ht="15.75" hidden="1" customHeight="1" outlineLevel="1" x14ac:dyDescent="0.25">
      <c r="A284" s="16"/>
      <c r="B284" s="46" t="s">
        <v>52</v>
      </c>
      <c r="C284" s="55">
        <v>0.05</v>
      </c>
      <c r="D284" s="91">
        <f t="shared" ref="D284:AD284" si="190">-$C284*D130</f>
        <v>-204</v>
      </c>
      <c r="E284" s="91">
        <f t="shared" si="190"/>
        <v>-408</v>
      </c>
      <c r="F284" s="91">
        <f t="shared" si="190"/>
        <v>-510</v>
      </c>
      <c r="G284" s="91">
        <f t="shared" si="190"/>
        <v>-918</v>
      </c>
      <c r="H284" s="91">
        <f t="shared" si="190"/>
        <v>-918</v>
      </c>
      <c r="I284" s="91">
        <f t="shared" si="190"/>
        <v>-1428</v>
      </c>
      <c r="J284" s="91">
        <f t="shared" si="190"/>
        <v>-1326</v>
      </c>
      <c r="K284" s="91">
        <f t="shared" si="190"/>
        <v>-1122</v>
      </c>
      <c r="L284" s="91">
        <f t="shared" si="190"/>
        <v>-918</v>
      </c>
      <c r="M284" s="91">
        <f t="shared" si="190"/>
        <v>-918</v>
      </c>
      <c r="N284" s="91">
        <f t="shared" si="190"/>
        <v>-1122</v>
      </c>
      <c r="O284" s="91">
        <f t="shared" si="190"/>
        <v>-1428</v>
      </c>
      <c r="P284" s="91">
        <f t="shared" si="190"/>
        <v>-1836</v>
      </c>
      <c r="Q284" s="91">
        <f t="shared" si="190"/>
        <v>-2244</v>
      </c>
      <c r="R284" s="91">
        <f t="shared" si="190"/>
        <v>-2958</v>
      </c>
      <c r="S284" s="91">
        <f t="shared" si="190"/>
        <v>-2754</v>
      </c>
      <c r="T284" s="91">
        <f t="shared" si="190"/>
        <v>-3264</v>
      </c>
      <c r="U284" s="91">
        <f t="shared" si="190"/>
        <v>-3672</v>
      </c>
      <c r="V284" s="91">
        <f t="shared" si="190"/>
        <v>-2958</v>
      </c>
      <c r="W284" s="91">
        <f t="shared" si="190"/>
        <v>-2550</v>
      </c>
      <c r="X284" s="91">
        <f t="shared" si="190"/>
        <v>-2040</v>
      </c>
      <c r="Y284" s="91">
        <f t="shared" si="190"/>
        <v>-2040</v>
      </c>
      <c r="Z284" s="91">
        <f t="shared" si="190"/>
        <v>-2244</v>
      </c>
      <c r="AA284" s="91">
        <f t="shared" si="190"/>
        <v>-3672</v>
      </c>
      <c r="AB284" s="91">
        <f t="shared" si="190"/>
        <v>-4080</v>
      </c>
      <c r="AC284" s="91">
        <f t="shared" si="190"/>
        <v>-4590</v>
      </c>
      <c r="AD284" s="91">
        <f t="shared" si="190"/>
        <v>-5508</v>
      </c>
      <c r="AE284" s="10"/>
      <c r="AF284" s="10"/>
      <c r="AG284" s="10"/>
      <c r="AH284" s="10"/>
      <c r="AI284" s="10"/>
      <c r="AJ284" s="10"/>
      <c r="AK284" s="10"/>
      <c r="AL284" s="10"/>
      <c r="AM284" s="10"/>
    </row>
    <row r="285" spans="1:39" ht="15.75" hidden="1" customHeight="1" outlineLevel="1" x14ac:dyDescent="0.25">
      <c r="A285" s="16"/>
      <c r="B285" s="83" t="s">
        <v>57</v>
      </c>
      <c r="C285" s="55">
        <v>0.01</v>
      </c>
      <c r="D285" s="91">
        <f t="shared" ref="D285:AD285" si="191">-$C285*D130</f>
        <v>-40.800000000000004</v>
      </c>
      <c r="E285" s="91">
        <f t="shared" si="191"/>
        <v>-81.600000000000009</v>
      </c>
      <c r="F285" s="91">
        <f t="shared" si="191"/>
        <v>-102</v>
      </c>
      <c r="G285" s="91">
        <f t="shared" si="191"/>
        <v>-183.6</v>
      </c>
      <c r="H285" s="91">
        <f t="shared" si="191"/>
        <v>-183.6</v>
      </c>
      <c r="I285" s="91">
        <f t="shared" si="191"/>
        <v>-285.60000000000002</v>
      </c>
      <c r="J285" s="91">
        <f t="shared" si="191"/>
        <v>-265.2</v>
      </c>
      <c r="K285" s="91">
        <f t="shared" si="191"/>
        <v>-224.4</v>
      </c>
      <c r="L285" s="91">
        <f t="shared" si="191"/>
        <v>-183.6</v>
      </c>
      <c r="M285" s="91">
        <f t="shared" si="191"/>
        <v>-183.6</v>
      </c>
      <c r="N285" s="91">
        <f t="shared" si="191"/>
        <v>-224.4</v>
      </c>
      <c r="O285" s="91">
        <f t="shared" si="191"/>
        <v>-285.60000000000002</v>
      </c>
      <c r="P285" s="91">
        <f t="shared" si="191"/>
        <v>-367.2</v>
      </c>
      <c r="Q285" s="91">
        <f t="shared" si="191"/>
        <v>-448.8</v>
      </c>
      <c r="R285" s="91">
        <f t="shared" si="191"/>
        <v>-591.6</v>
      </c>
      <c r="S285" s="91">
        <f t="shared" si="191"/>
        <v>-550.80000000000007</v>
      </c>
      <c r="T285" s="91">
        <f t="shared" si="191"/>
        <v>-652.80000000000007</v>
      </c>
      <c r="U285" s="91">
        <f t="shared" si="191"/>
        <v>-734.4</v>
      </c>
      <c r="V285" s="91">
        <f t="shared" si="191"/>
        <v>-591.6</v>
      </c>
      <c r="W285" s="91">
        <f t="shared" si="191"/>
        <v>-510</v>
      </c>
      <c r="X285" s="91">
        <f t="shared" si="191"/>
        <v>-408</v>
      </c>
      <c r="Y285" s="91">
        <f t="shared" si="191"/>
        <v>-408</v>
      </c>
      <c r="Z285" s="91">
        <f t="shared" si="191"/>
        <v>-448.8</v>
      </c>
      <c r="AA285" s="91">
        <f t="shared" si="191"/>
        <v>-734.4</v>
      </c>
      <c r="AB285" s="91">
        <f t="shared" si="191"/>
        <v>-816</v>
      </c>
      <c r="AC285" s="91">
        <f t="shared" si="191"/>
        <v>-918</v>
      </c>
      <c r="AD285" s="91">
        <f t="shared" si="191"/>
        <v>-1101.6000000000001</v>
      </c>
      <c r="AE285" s="10"/>
      <c r="AF285" s="10"/>
      <c r="AG285" s="10"/>
      <c r="AH285" s="10"/>
      <c r="AI285" s="10"/>
      <c r="AJ285" s="10"/>
      <c r="AK285" s="10"/>
      <c r="AL285" s="10"/>
      <c r="AM285" s="10"/>
    </row>
    <row r="286" spans="1:39" ht="15.75" hidden="1" customHeight="1" outlineLevel="1" x14ac:dyDescent="0.25">
      <c r="A286" s="16"/>
      <c r="B286" s="46" t="s">
        <v>54</v>
      </c>
      <c r="C286" s="50">
        <v>60</v>
      </c>
      <c r="D286" s="91">
        <f t="shared" ref="D286:AD286" si="192">-$C286*D148</f>
        <v>-120</v>
      </c>
      <c r="E286" s="91">
        <f t="shared" si="192"/>
        <v>-240</v>
      </c>
      <c r="F286" s="91">
        <f t="shared" si="192"/>
        <v>-300</v>
      </c>
      <c r="G286" s="91">
        <f t="shared" si="192"/>
        <v>-540</v>
      </c>
      <c r="H286" s="91">
        <f t="shared" si="192"/>
        <v>-540</v>
      </c>
      <c r="I286" s="91">
        <f t="shared" si="192"/>
        <v>-840</v>
      </c>
      <c r="J286" s="91">
        <f t="shared" si="192"/>
        <v>-780</v>
      </c>
      <c r="K286" s="91">
        <f t="shared" si="192"/>
        <v>-660</v>
      </c>
      <c r="L286" s="91">
        <f t="shared" si="192"/>
        <v>-540</v>
      </c>
      <c r="M286" s="91">
        <f t="shared" si="192"/>
        <v>-540</v>
      </c>
      <c r="N286" s="91">
        <f t="shared" si="192"/>
        <v>-660</v>
      </c>
      <c r="O286" s="91">
        <f t="shared" si="192"/>
        <v>-840</v>
      </c>
      <c r="P286" s="91">
        <f t="shared" si="192"/>
        <v>-1080</v>
      </c>
      <c r="Q286" s="91">
        <f t="shared" si="192"/>
        <v>-1320</v>
      </c>
      <c r="R286" s="91">
        <f t="shared" si="192"/>
        <v>-1740</v>
      </c>
      <c r="S286" s="91">
        <f t="shared" si="192"/>
        <v>-1620</v>
      </c>
      <c r="T286" s="91">
        <f t="shared" si="192"/>
        <v>-1920</v>
      </c>
      <c r="U286" s="91">
        <f t="shared" si="192"/>
        <v>-2160</v>
      </c>
      <c r="V286" s="91">
        <f t="shared" si="192"/>
        <v>-1740</v>
      </c>
      <c r="W286" s="91">
        <f t="shared" si="192"/>
        <v>-1500</v>
      </c>
      <c r="X286" s="91">
        <f t="shared" si="192"/>
        <v>-1200</v>
      </c>
      <c r="Y286" s="91">
        <f t="shared" si="192"/>
        <v>-1200</v>
      </c>
      <c r="Z286" s="91">
        <f t="shared" si="192"/>
        <v>-1320</v>
      </c>
      <c r="AA286" s="91">
        <f t="shared" si="192"/>
        <v>-2160</v>
      </c>
      <c r="AB286" s="91">
        <f t="shared" si="192"/>
        <v>-2400</v>
      </c>
      <c r="AC286" s="91">
        <f t="shared" si="192"/>
        <v>-2700</v>
      </c>
      <c r="AD286" s="91">
        <f t="shared" si="192"/>
        <v>-3240</v>
      </c>
      <c r="AE286" s="10"/>
      <c r="AF286" s="10"/>
      <c r="AG286" s="10"/>
      <c r="AH286" s="10"/>
      <c r="AI286" s="10"/>
      <c r="AJ286" s="10"/>
      <c r="AK286" s="10"/>
      <c r="AL286" s="10"/>
      <c r="AM286" s="10"/>
    </row>
    <row r="287" spans="1:39" ht="15.75" customHeight="1" x14ac:dyDescent="0.2">
      <c r="A287" s="18"/>
      <c r="B287" s="75" t="s">
        <v>58</v>
      </c>
      <c r="C287" s="76"/>
      <c r="D287" s="77">
        <f t="shared" ref="D287:AD287" si="193">D288+D294+D300+D306+D312+D318</f>
        <v>-14584.800000000001</v>
      </c>
      <c r="E287" s="77">
        <f t="shared" si="193"/>
        <v>-29169.600000000002</v>
      </c>
      <c r="F287" s="77">
        <f t="shared" si="193"/>
        <v>-43754.400000000001</v>
      </c>
      <c r="G287" s="77">
        <f t="shared" si="193"/>
        <v>-72924</v>
      </c>
      <c r="H287" s="77">
        <f t="shared" si="193"/>
        <v>-72924</v>
      </c>
      <c r="I287" s="77">
        <f t="shared" si="193"/>
        <v>-116678.40000000001</v>
      </c>
      <c r="J287" s="77">
        <f t="shared" si="193"/>
        <v>-102093.59999999999</v>
      </c>
      <c r="K287" s="77">
        <f t="shared" si="193"/>
        <v>-87508.800000000003</v>
      </c>
      <c r="L287" s="77">
        <f t="shared" si="193"/>
        <v>-72924</v>
      </c>
      <c r="M287" s="77">
        <f t="shared" si="193"/>
        <v>-72924</v>
      </c>
      <c r="N287" s="77">
        <f t="shared" si="193"/>
        <v>-87508.800000000003</v>
      </c>
      <c r="O287" s="77">
        <f t="shared" si="193"/>
        <v>-116678.40000000001</v>
      </c>
      <c r="P287" s="77">
        <f t="shared" si="193"/>
        <v>-145848</v>
      </c>
      <c r="Q287" s="77">
        <f t="shared" si="193"/>
        <v>-175017.60000000001</v>
      </c>
      <c r="R287" s="77">
        <f t="shared" si="193"/>
        <v>-233356.80000000002</v>
      </c>
      <c r="S287" s="77">
        <f t="shared" si="193"/>
        <v>-218772</v>
      </c>
      <c r="T287" s="77">
        <f t="shared" si="193"/>
        <v>-262526.40000000002</v>
      </c>
      <c r="U287" s="77">
        <f t="shared" si="193"/>
        <v>-291696</v>
      </c>
      <c r="V287" s="77">
        <f t="shared" si="193"/>
        <v>-233356.80000000002</v>
      </c>
      <c r="W287" s="77">
        <f t="shared" si="193"/>
        <v>-204187.19999999998</v>
      </c>
      <c r="X287" s="77">
        <f t="shared" si="193"/>
        <v>-160432.79999999999</v>
      </c>
      <c r="Y287" s="77">
        <f t="shared" si="193"/>
        <v>-160432.79999999999</v>
      </c>
      <c r="Z287" s="77">
        <f t="shared" si="193"/>
        <v>-175017.60000000001</v>
      </c>
      <c r="AA287" s="77">
        <f t="shared" si="193"/>
        <v>-291696</v>
      </c>
      <c r="AB287" s="77">
        <f t="shared" si="193"/>
        <v>-320865.59999999998</v>
      </c>
      <c r="AC287" s="77">
        <f t="shared" si="193"/>
        <v>-364620</v>
      </c>
      <c r="AD287" s="77">
        <f t="shared" si="193"/>
        <v>-437544</v>
      </c>
      <c r="AE287" s="10"/>
      <c r="AF287" s="10"/>
      <c r="AG287" s="10"/>
      <c r="AH287" s="10"/>
      <c r="AI287" s="10"/>
      <c r="AJ287" s="10"/>
      <c r="AK287" s="10"/>
      <c r="AL287" s="10"/>
      <c r="AM287" s="10"/>
    </row>
    <row r="288" spans="1:39" ht="15.75" customHeight="1" collapsed="1" x14ac:dyDescent="0.2">
      <c r="A288" s="18"/>
      <c r="B288" s="541" t="s">
        <v>432</v>
      </c>
      <c r="C288" s="79"/>
      <c r="D288" s="80">
        <f t="shared" ref="D288:AD288" si="194">SUM(D289:D293)</f>
        <v>-1950</v>
      </c>
      <c r="E288" s="80">
        <f t="shared" si="194"/>
        <v>-3900</v>
      </c>
      <c r="F288" s="80">
        <f t="shared" si="194"/>
        <v>-5850</v>
      </c>
      <c r="G288" s="80">
        <f t="shared" si="194"/>
        <v>-9750</v>
      </c>
      <c r="H288" s="80">
        <f t="shared" si="194"/>
        <v>-9750</v>
      </c>
      <c r="I288" s="80">
        <f t="shared" si="194"/>
        <v>-15600</v>
      </c>
      <c r="J288" s="80">
        <f t="shared" si="194"/>
        <v>-13650</v>
      </c>
      <c r="K288" s="80">
        <f t="shared" si="194"/>
        <v>-11700</v>
      </c>
      <c r="L288" s="80">
        <f t="shared" si="194"/>
        <v>-9750</v>
      </c>
      <c r="M288" s="80">
        <f t="shared" si="194"/>
        <v>-9750</v>
      </c>
      <c r="N288" s="80">
        <f t="shared" si="194"/>
        <v>-11700</v>
      </c>
      <c r="O288" s="80">
        <f t="shared" si="194"/>
        <v>-15600</v>
      </c>
      <c r="P288" s="80">
        <f t="shared" si="194"/>
        <v>-19500</v>
      </c>
      <c r="Q288" s="80">
        <f t="shared" si="194"/>
        <v>-23400</v>
      </c>
      <c r="R288" s="80">
        <f t="shared" si="194"/>
        <v>-31200</v>
      </c>
      <c r="S288" s="80">
        <f t="shared" si="194"/>
        <v>-29250</v>
      </c>
      <c r="T288" s="80">
        <f t="shared" si="194"/>
        <v>-35100</v>
      </c>
      <c r="U288" s="80">
        <f t="shared" si="194"/>
        <v>-39000</v>
      </c>
      <c r="V288" s="80">
        <f t="shared" si="194"/>
        <v>-31200</v>
      </c>
      <c r="W288" s="80">
        <f t="shared" si="194"/>
        <v>-27300</v>
      </c>
      <c r="X288" s="80">
        <f t="shared" si="194"/>
        <v>-21450</v>
      </c>
      <c r="Y288" s="80">
        <f t="shared" si="194"/>
        <v>-21450</v>
      </c>
      <c r="Z288" s="80">
        <f t="shared" si="194"/>
        <v>-23400</v>
      </c>
      <c r="AA288" s="80">
        <f t="shared" si="194"/>
        <v>-39000</v>
      </c>
      <c r="AB288" s="80">
        <f t="shared" si="194"/>
        <v>-42900</v>
      </c>
      <c r="AC288" s="80">
        <f t="shared" si="194"/>
        <v>-48750</v>
      </c>
      <c r="AD288" s="80">
        <f t="shared" si="194"/>
        <v>-58500</v>
      </c>
      <c r="AE288" s="10"/>
      <c r="AF288" s="10"/>
      <c r="AG288" s="10"/>
      <c r="AH288" s="10"/>
      <c r="AI288" s="10"/>
      <c r="AJ288" s="10"/>
      <c r="AK288" s="10"/>
      <c r="AL288" s="10"/>
      <c r="AM288" s="10"/>
    </row>
    <row r="289" spans="1:39" ht="15.75" hidden="1" customHeight="1" outlineLevel="1" x14ac:dyDescent="0.2">
      <c r="A289" s="16"/>
      <c r="B289" s="46" t="s">
        <v>56</v>
      </c>
      <c r="C289" s="55">
        <v>0.1</v>
      </c>
      <c r="D289" s="51">
        <f t="shared" ref="D289:AD289" si="195">-D151*$C289</f>
        <v>-637.5</v>
      </c>
      <c r="E289" s="51">
        <f t="shared" si="195"/>
        <v>-1275</v>
      </c>
      <c r="F289" s="51">
        <f t="shared" si="195"/>
        <v>-1912.5</v>
      </c>
      <c r="G289" s="51">
        <f t="shared" si="195"/>
        <v>-3187.5</v>
      </c>
      <c r="H289" s="51">
        <f t="shared" si="195"/>
        <v>-3187.5</v>
      </c>
      <c r="I289" s="51">
        <f t="shared" si="195"/>
        <v>-5100</v>
      </c>
      <c r="J289" s="51">
        <f t="shared" si="195"/>
        <v>-4462.5</v>
      </c>
      <c r="K289" s="51">
        <f t="shared" si="195"/>
        <v>-3825</v>
      </c>
      <c r="L289" s="51">
        <f t="shared" si="195"/>
        <v>-3187.5</v>
      </c>
      <c r="M289" s="51">
        <f t="shared" si="195"/>
        <v>-3187.5</v>
      </c>
      <c r="N289" s="51">
        <f t="shared" si="195"/>
        <v>-3825</v>
      </c>
      <c r="O289" s="51">
        <f t="shared" si="195"/>
        <v>-5100</v>
      </c>
      <c r="P289" s="51">
        <f t="shared" si="195"/>
        <v>-6375</v>
      </c>
      <c r="Q289" s="51">
        <f t="shared" si="195"/>
        <v>-7650</v>
      </c>
      <c r="R289" s="51">
        <f t="shared" si="195"/>
        <v>-10200</v>
      </c>
      <c r="S289" s="51">
        <f t="shared" si="195"/>
        <v>-9562.5</v>
      </c>
      <c r="T289" s="51">
        <f t="shared" si="195"/>
        <v>-11475</v>
      </c>
      <c r="U289" s="51">
        <f t="shared" si="195"/>
        <v>-12750</v>
      </c>
      <c r="V289" s="51">
        <f t="shared" si="195"/>
        <v>-10200</v>
      </c>
      <c r="W289" s="51">
        <f t="shared" si="195"/>
        <v>-8925</v>
      </c>
      <c r="X289" s="51">
        <f t="shared" si="195"/>
        <v>-7012.5</v>
      </c>
      <c r="Y289" s="51">
        <f t="shared" si="195"/>
        <v>-7012.5</v>
      </c>
      <c r="Z289" s="51">
        <f t="shared" si="195"/>
        <v>-7650</v>
      </c>
      <c r="AA289" s="51">
        <f t="shared" si="195"/>
        <v>-12750</v>
      </c>
      <c r="AB289" s="51">
        <f t="shared" si="195"/>
        <v>-14025</v>
      </c>
      <c r="AC289" s="51">
        <f t="shared" si="195"/>
        <v>-15937.5</v>
      </c>
      <c r="AD289" s="51">
        <f t="shared" si="195"/>
        <v>-19125</v>
      </c>
      <c r="AE289" s="10"/>
      <c r="AF289" s="10"/>
      <c r="AG289" s="10"/>
      <c r="AH289" s="10"/>
      <c r="AI289" s="10"/>
      <c r="AJ289" s="10"/>
      <c r="AK289" s="10"/>
      <c r="AL289" s="10"/>
      <c r="AM289" s="10"/>
    </row>
    <row r="290" spans="1:39" ht="15.75" hidden="1" customHeight="1" outlineLevel="1" x14ac:dyDescent="0.2">
      <c r="A290" s="48"/>
      <c r="B290" s="81" t="s">
        <v>51</v>
      </c>
      <c r="C290" s="50">
        <v>250</v>
      </c>
      <c r="D290" s="51">
        <f t="shared" ref="D290:AD290" si="196">-$C290*D159</f>
        <v>-750</v>
      </c>
      <c r="E290" s="51">
        <f t="shared" si="196"/>
        <v>-1500</v>
      </c>
      <c r="F290" s="51">
        <f t="shared" si="196"/>
        <v>-2250</v>
      </c>
      <c r="G290" s="51">
        <f t="shared" si="196"/>
        <v>-3750</v>
      </c>
      <c r="H290" s="51">
        <f t="shared" si="196"/>
        <v>-3750</v>
      </c>
      <c r="I290" s="51">
        <f t="shared" si="196"/>
        <v>-6000</v>
      </c>
      <c r="J290" s="51">
        <f t="shared" si="196"/>
        <v>-5250</v>
      </c>
      <c r="K290" s="51">
        <f t="shared" si="196"/>
        <v>-4500</v>
      </c>
      <c r="L290" s="51">
        <f t="shared" si="196"/>
        <v>-3750</v>
      </c>
      <c r="M290" s="51">
        <f t="shared" si="196"/>
        <v>-3750</v>
      </c>
      <c r="N290" s="51">
        <f t="shared" si="196"/>
        <v>-4500</v>
      </c>
      <c r="O290" s="51">
        <f t="shared" si="196"/>
        <v>-6000</v>
      </c>
      <c r="P290" s="51">
        <f t="shared" si="196"/>
        <v>-7500</v>
      </c>
      <c r="Q290" s="51">
        <f t="shared" si="196"/>
        <v>-9000</v>
      </c>
      <c r="R290" s="51">
        <f t="shared" si="196"/>
        <v>-12000</v>
      </c>
      <c r="S290" s="51">
        <f t="shared" si="196"/>
        <v>-11250</v>
      </c>
      <c r="T290" s="51">
        <f t="shared" si="196"/>
        <v>-13500</v>
      </c>
      <c r="U290" s="51">
        <f t="shared" si="196"/>
        <v>-15000</v>
      </c>
      <c r="V290" s="51">
        <f t="shared" si="196"/>
        <v>-12000</v>
      </c>
      <c r="W290" s="51">
        <f t="shared" si="196"/>
        <v>-10500</v>
      </c>
      <c r="X290" s="51">
        <f t="shared" si="196"/>
        <v>-8250</v>
      </c>
      <c r="Y290" s="51">
        <f t="shared" si="196"/>
        <v>-8250</v>
      </c>
      <c r="Z290" s="51">
        <f t="shared" si="196"/>
        <v>-9000</v>
      </c>
      <c r="AA290" s="51">
        <f t="shared" si="196"/>
        <v>-15000</v>
      </c>
      <c r="AB290" s="51">
        <f t="shared" si="196"/>
        <v>-16500</v>
      </c>
      <c r="AC290" s="51">
        <f t="shared" si="196"/>
        <v>-18750</v>
      </c>
      <c r="AD290" s="51">
        <f t="shared" si="196"/>
        <v>-22500</v>
      </c>
      <c r="AE290" s="10"/>
      <c r="AF290" s="10"/>
      <c r="AG290" s="10"/>
      <c r="AH290" s="10"/>
      <c r="AI290" s="10"/>
      <c r="AJ290" s="10"/>
      <c r="AK290" s="10"/>
      <c r="AL290" s="10"/>
      <c r="AM290" s="10"/>
    </row>
    <row r="291" spans="1:39" ht="15.75" hidden="1" customHeight="1" outlineLevel="1" x14ac:dyDescent="0.2">
      <c r="A291" s="48"/>
      <c r="B291" s="46" t="s">
        <v>52</v>
      </c>
      <c r="C291" s="55">
        <v>0.05</v>
      </c>
      <c r="D291" s="51">
        <f t="shared" ref="D291:AD291" si="197">-D151*$C291</f>
        <v>-318.75</v>
      </c>
      <c r="E291" s="51">
        <f t="shared" si="197"/>
        <v>-637.5</v>
      </c>
      <c r="F291" s="51">
        <f t="shared" si="197"/>
        <v>-956.25</v>
      </c>
      <c r="G291" s="51">
        <f t="shared" si="197"/>
        <v>-1593.75</v>
      </c>
      <c r="H291" s="51">
        <f t="shared" si="197"/>
        <v>-1593.75</v>
      </c>
      <c r="I291" s="51">
        <f t="shared" si="197"/>
        <v>-2550</v>
      </c>
      <c r="J291" s="51">
        <f t="shared" si="197"/>
        <v>-2231.25</v>
      </c>
      <c r="K291" s="51">
        <f t="shared" si="197"/>
        <v>-1912.5</v>
      </c>
      <c r="L291" s="51">
        <f t="shared" si="197"/>
        <v>-1593.75</v>
      </c>
      <c r="M291" s="51">
        <f t="shared" si="197"/>
        <v>-1593.75</v>
      </c>
      <c r="N291" s="51">
        <f t="shared" si="197"/>
        <v>-1912.5</v>
      </c>
      <c r="O291" s="51">
        <f t="shared" si="197"/>
        <v>-2550</v>
      </c>
      <c r="P291" s="51">
        <f t="shared" si="197"/>
        <v>-3187.5</v>
      </c>
      <c r="Q291" s="51">
        <f t="shared" si="197"/>
        <v>-3825</v>
      </c>
      <c r="R291" s="51">
        <f t="shared" si="197"/>
        <v>-5100</v>
      </c>
      <c r="S291" s="51">
        <f t="shared" si="197"/>
        <v>-4781.25</v>
      </c>
      <c r="T291" s="51">
        <f t="shared" si="197"/>
        <v>-5737.5</v>
      </c>
      <c r="U291" s="51">
        <f t="shared" si="197"/>
        <v>-6375</v>
      </c>
      <c r="V291" s="51">
        <f t="shared" si="197"/>
        <v>-5100</v>
      </c>
      <c r="W291" s="51">
        <f t="shared" si="197"/>
        <v>-4462.5</v>
      </c>
      <c r="X291" s="51">
        <f t="shared" si="197"/>
        <v>-3506.25</v>
      </c>
      <c r="Y291" s="51">
        <f t="shared" si="197"/>
        <v>-3506.25</v>
      </c>
      <c r="Z291" s="51">
        <f t="shared" si="197"/>
        <v>-3825</v>
      </c>
      <c r="AA291" s="51">
        <f t="shared" si="197"/>
        <v>-6375</v>
      </c>
      <c r="AB291" s="51">
        <f t="shared" si="197"/>
        <v>-7012.5</v>
      </c>
      <c r="AC291" s="51">
        <f t="shared" si="197"/>
        <v>-7968.75</v>
      </c>
      <c r="AD291" s="51">
        <f t="shared" si="197"/>
        <v>-9562.5</v>
      </c>
      <c r="AE291" s="10"/>
      <c r="AF291" s="10"/>
      <c r="AG291" s="10"/>
      <c r="AH291" s="10"/>
      <c r="AI291" s="10"/>
      <c r="AJ291" s="10"/>
      <c r="AK291" s="10"/>
      <c r="AL291" s="10"/>
      <c r="AM291" s="10"/>
    </row>
    <row r="292" spans="1:39" ht="15.75" hidden="1" customHeight="1" outlineLevel="1" x14ac:dyDescent="0.2">
      <c r="A292" s="16"/>
      <c r="B292" s="83" t="s">
        <v>57</v>
      </c>
      <c r="C292" s="55">
        <v>0.01</v>
      </c>
      <c r="D292" s="51">
        <f t="shared" ref="D292:AD292" si="198">-$C292*D151</f>
        <v>-63.75</v>
      </c>
      <c r="E292" s="51">
        <f t="shared" si="198"/>
        <v>-127.5</v>
      </c>
      <c r="F292" s="51">
        <f t="shared" si="198"/>
        <v>-191.25</v>
      </c>
      <c r="G292" s="51">
        <f t="shared" si="198"/>
        <v>-318.75</v>
      </c>
      <c r="H292" s="51">
        <f t="shared" si="198"/>
        <v>-318.75</v>
      </c>
      <c r="I292" s="51">
        <f t="shared" si="198"/>
        <v>-510</v>
      </c>
      <c r="J292" s="51">
        <f t="shared" si="198"/>
        <v>-446.25</v>
      </c>
      <c r="K292" s="51">
        <f t="shared" si="198"/>
        <v>-382.5</v>
      </c>
      <c r="L292" s="51">
        <f t="shared" si="198"/>
        <v>-318.75</v>
      </c>
      <c r="M292" s="51">
        <f t="shared" si="198"/>
        <v>-318.75</v>
      </c>
      <c r="N292" s="51">
        <f t="shared" si="198"/>
        <v>-382.5</v>
      </c>
      <c r="O292" s="51">
        <f t="shared" si="198"/>
        <v>-510</v>
      </c>
      <c r="P292" s="51">
        <f t="shared" si="198"/>
        <v>-637.5</v>
      </c>
      <c r="Q292" s="51">
        <f t="shared" si="198"/>
        <v>-765</v>
      </c>
      <c r="R292" s="51">
        <f t="shared" si="198"/>
        <v>-1020</v>
      </c>
      <c r="S292" s="51">
        <f t="shared" si="198"/>
        <v>-956.25</v>
      </c>
      <c r="T292" s="51">
        <f t="shared" si="198"/>
        <v>-1147.5</v>
      </c>
      <c r="U292" s="51">
        <f t="shared" si="198"/>
        <v>-1275</v>
      </c>
      <c r="V292" s="51">
        <f t="shared" si="198"/>
        <v>-1020</v>
      </c>
      <c r="W292" s="51">
        <f t="shared" si="198"/>
        <v>-892.5</v>
      </c>
      <c r="X292" s="51">
        <f t="shared" si="198"/>
        <v>-701.25</v>
      </c>
      <c r="Y292" s="51">
        <f t="shared" si="198"/>
        <v>-701.25</v>
      </c>
      <c r="Z292" s="51">
        <f t="shared" si="198"/>
        <v>-765</v>
      </c>
      <c r="AA292" s="51">
        <f t="shared" si="198"/>
        <v>-1275</v>
      </c>
      <c r="AB292" s="51">
        <f t="shared" si="198"/>
        <v>-1402.5</v>
      </c>
      <c r="AC292" s="51">
        <f t="shared" si="198"/>
        <v>-1593.75</v>
      </c>
      <c r="AD292" s="51">
        <f t="shared" si="198"/>
        <v>-1912.5</v>
      </c>
      <c r="AE292" s="10"/>
      <c r="AF292" s="10"/>
      <c r="AG292" s="10"/>
      <c r="AH292" s="10"/>
      <c r="AI292" s="10"/>
      <c r="AJ292" s="10"/>
      <c r="AK292" s="10"/>
      <c r="AL292" s="10"/>
      <c r="AM292" s="10"/>
    </row>
    <row r="293" spans="1:39" ht="15.75" hidden="1" customHeight="1" outlineLevel="1" x14ac:dyDescent="0.2">
      <c r="A293" s="48"/>
      <c r="B293" s="46" t="s">
        <v>54</v>
      </c>
      <c r="C293" s="50">
        <v>60</v>
      </c>
      <c r="D293" s="51">
        <f t="shared" ref="D293:AD293" si="199">-$C293*D159</f>
        <v>-180</v>
      </c>
      <c r="E293" s="51">
        <f t="shared" si="199"/>
        <v>-360</v>
      </c>
      <c r="F293" s="51">
        <f t="shared" si="199"/>
        <v>-540</v>
      </c>
      <c r="G293" s="51">
        <f t="shared" si="199"/>
        <v>-900</v>
      </c>
      <c r="H293" s="51">
        <f t="shared" si="199"/>
        <v>-900</v>
      </c>
      <c r="I293" s="51">
        <f t="shared" si="199"/>
        <v>-1440</v>
      </c>
      <c r="J293" s="51">
        <f t="shared" si="199"/>
        <v>-1260</v>
      </c>
      <c r="K293" s="51">
        <f t="shared" si="199"/>
        <v>-1080</v>
      </c>
      <c r="L293" s="51">
        <f t="shared" si="199"/>
        <v>-900</v>
      </c>
      <c r="M293" s="51">
        <f t="shared" si="199"/>
        <v>-900</v>
      </c>
      <c r="N293" s="51">
        <f t="shared" si="199"/>
        <v>-1080</v>
      </c>
      <c r="O293" s="51">
        <f t="shared" si="199"/>
        <v>-1440</v>
      </c>
      <c r="P293" s="51">
        <f t="shared" si="199"/>
        <v>-1800</v>
      </c>
      <c r="Q293" s="51">
        <f t="shared" si="199"/>
        <v>-2160</v>
      </c>
      <c r="R293" s="51">
        <f t="shared" si="199"/>
        <v>-2880</v>
      </c>
      <c r="S293" s="51">
        <f t="shared" si="199"/>
        <v>-2700</v>
      </c>
      <c r="T293" s="51">
        <f t="shared" si="199"/>
        <v>-3240</v>
      </c>
      <c r="U293" s="51">
        <f t="shared" si="199"/>
        <v>-3600</v>
      </c>
      <c r="V293" s="51">
        <f t="shared" si="199"/>
        <v>-2880</v>
      </c>
      <c r="W293" s="51">
        <f t="shared" si="199"/>
        <v>-2520</v>
      </c>
      <c r="X293" s="51">
        <f t="shared" si="199"/>
        <v>-1980</v>
      </c>
      <c r="Y293" s="51">
        <f t="shared" si="199"/>
        <v>-1980</v>
      </c>
      <c r="Z293" s="51">
        <f t="shared" si="199"/>
        <v>-2160</v>
      </c>
      <c r="AA293" s="51">
        <f t="shared" si="199"/>
        <v>-3600</v>
      </c>
      <c r="AB293" s="51">
        <f t="shared" si="199"/>
        <v>-3960</v>
      </c>
      <c r="AC293" s="51">
        <f t="shared" si="199"/>
        <v>-4500</v>
      </c>
      <c r="AD293" s="51">
        <f t="shared" si="199"/>
        <v>-5400</v>
      </c>
      <c r="AE293" s="10"/>
      <c r="AF293" s="10"/>
      <c r="AG293" s="10"/>
      <c r="AH293" s="10"/>
      <c r="AI293" s="10"/>
      <c r="AJ293" s="10"/>
      <c r="AK293" s="10"/>
      <c r="AL293" s="10"/>
      <c r="AM293" s="10"/>
    </row>
    <row r="294" spans="1:39" ht="16.5" customHeight="1" collapsed="1" x14ac:dyDescent="0.2">
      <c r="A294" s="48"/>
      <c r="B294" s="541" t="s">
        <v>433</v>
      </c>
      <c r="C294" s="79"/>
      <c r="D294" s="80">
        <f t="shared" ref="D294:AD294" si="200">SUM(D295:D299)</f>
        <v>-1950</v>
      </c>
      <c r="E294" s="80">
        <f t="shared" si="200"/>
        <v>-3900</v>
      </c>
      <c r="F294" s="80">
        <f t="shared" si="200"/>
        <v>-5850</v>
      </c>
      <c r="G294" s="80">
        <f t="shared" si="200"/>
        <v>-9750</v>
      </c>
      <c r="H294" s="80">
        <f t="shared" si="200"/>
        <v>-9750</v>
      </c>
      <c r="I294" s="80">
        <f t="shared" si="200"/>
        <v>-15600</v>
      </c>
      <c r="J294" s="80">
        <f t="shared" si="200"/>
        <v>-13650</v>
      </c>
      <c r="K294" s="80">
        <f t="shared" si="200"/>
        <v>-11700</v>
      </c>
      <c r="L294" s="80">
        <f t="shared" si="200"/>
        <v>-9750</v>
      </c>
      <c r="M294" s="80">
        <f t="shared" si="200"/>
        <v>-9750</v>
      </c>
      <c r="N294" s="80">
        <f t="shared" si="200"/>
        <v>-11700</v>
      </c>
      <c r="O294" s="80">
        <f t="shared" si="200"/>
        <v>-15600</v>
      </c>
      <c r="P294" s="80">
        <f t="shared" si="200"/>
        <v>-19500</v>
      </c>
      <c r="Q294" s="80">
        <f t="shared" si="200"/>
        <v>-23400</v>
      </c>
      <c r="R294" s="80">
        <f t="shared" si="200"/>
        <v>-31200</v>
      </c>
      <c r="S294" s="80">
        <f t="shared" si="200"/>
        <v>-29250</v>
      </c>
      <c r="T294" s="80">
        <f t="shared" si="200"/>
        <v>-35100</v>
      </c>
      <c r="U294" s="80">
        <f t="shared" si="200"/>
        <v>-39000</v>
      </c>
      <c r="V294" s="80">
        <f t="shared" si="200"/>
        <v>-31200</v>
      </c>
      <c r="W294" s="80">
        <f t="shared" si="200"/>
        <v>-27300</v>
      </c>
      <c r="X294" s="80">
        <f t="shared" si="200"/>
        <v>-21450</v>
      </c>
      <c r="Y294" s="80">
        <f t="shared" si="200"/>
        <v>-21450</v>
      </c>
      <c r="Z294" s="80">
        <f t="shared" si="200"/>
        <v>-23400</v>
      </c>
      <c r="AA294" s="80">
        <f t="shared" si="200"/>
        <v>-39000</v>
      </c>
      <c r="AB294" s="80">
        <f t="shared" si="200"/>
        <v>-42900</v>
      </c>
      <c r="AC294" s="80">
        <f t="shared" si="200"/>
        <v>-48750</v>
      </c>
      <c r="AD294" s="80">
        <f t="shared" si="200"/>
        <v>-58500</v>
      </c>
      <c r="AE294" s="10"/>
      <c r="AF294" s="10"/>
      <c r="AG294" s="10"/>
      <c r="AH294" s="10"/>
      <c r="AI294" s="10"/>
      <c r="AJ294" s="10"/>
      <c r="AK294" s="10"/>
      <c r="AL294" s="10"/>
      <c r="AM294" s="10"/>
    </row>
    <row r="295" spans="1:39" ht="16.5" hidden="1" customHeight="1" outlineLevel="1" x14ac:dyDescent="0.2">
      <c r="A295" s="48"/>
      <c r="B295" s="46" t="s">
        <v>56</v>
      </c>
      <c r="C295" s="55">
        <v>0.1</v>
      </c>
      <c r="D295" s="51">
        <f t="shared" ref="D295:AD295" si="201">-$C295*D161</f>
        <v>-637.5</v>
      </c>
      <c r="E295" s="51">
        <f t="shared" si="201"/>
        <v>-1275</v>
      </c>
      <c r="F295" s="51">
        <f t="shared" si="201"/>
        <v>-1912.5</v>
      </c>
      <c r="G295" s="51">
        <f t="shared" si="201"/>
        <v>-3187.5</v>
      </c>
      <c r="H295" s="51">
        <f t="shared" si="201"/>
        <v>-3187.5</v>
      </c>
      <c r="I295" s="51">
        <f t="shared" si="201"/>
        <v>-5100</v>
      </c>
      <c r="J295" s="51">
        <f t="shared" si="201"/>
        <v>-4462.5</v>
      </c>
      <c r="K295" s="51">
        <f t="shared" si="201"/>
        <v>-3825</v>
      </c>
      <c r="L295" s="51">
        <f t="shared" si="201"/>
        <v>-3187.5</v>
      </c>
      <c r="M295" s="51">
        <f t="shared" si="201"/>
        <v>-3187.5</v>
      </c>
      <c r="N295" s="51">
        <f t="shared" si="201"/>
        <v>-3825</v>
      </c>
      <c r="O295" s="51">
        <f t="shared" si="201"/>
        <v>-5100</v>
      </c>
      <c r="P295" s="51">
        <f t="shared" si="201"/>
        <v>-6375</v>
      </c>
      <c r="Q295" s="51">
        <f t="shared" si="201"/>
        <v>-7650</v>
      </c>
      <c r="R295" s="51">
        <f t="shared" si="201"/>
        <v>-10200</v>
      </c>
      <c r="S295" s="51">
        <f t="shared" si="201"/>
        <v>-9562.5</v>
      </c>
      <c r="T295" s="51">
        <f t="shared" si="201"/>
        <v>-11475</v>
      </c>
      <c r="U295" s="51">
        <f t="shared" si="201"/>
        <v>-12750</v>
      </c>
      <c r="V295" s="51">
        <f t="shared" si="201"/>
        <v>-10200</v>
      </c>
      <c r="W295" s="51">
        <f t="shared" si="201"/>
        <v>-8925</v>
      </c>
      <c r="X295" s="51">
        <f t="shared" si="201"/>
        <v>-7012.5</v>
      </c>
      <c r="Y295" s="51">
        <f t="shared" si="201"/>
        <v>-7012.5</v>
      </c>
      <c r="Z295" s="51">
        <f t="shared" si="201"/>
        <v>-7650</v>
      </c>
      <c r="AA295" s="51">
        <f t="shared" si="201"/>
        <v>-12750</v>
      </c>
      <c r="AB295" s="51">
        <f t="shared" si="201"/>
        <v>-14025</v>
      </c>
      <c r="AC295" s="51">
        <f t="shared" si="201"/>
        <v>-15937.5</v>
      </c>
      <c r="AD295" s="51">
        <f t="shared" si="201"/>
        <v>-19125</v>
      </c>
      <c r="AE295" s="10"/>
      <c r="AF295" s="10"/>
      <c r="AG295" s="10"/>
      <c r="AH295" s="10"/>
      <c r="AI295" s="10"/>
      <c r="AJ295" s="10"/>
      <c r="AK295" s="10"/>
      <c r="AL295" s="10"/>
      <c r="AM295" s="10"/>
    </row>
    <row r="296" spans="1:39" ht="16.5" hidden="1" customHeight="1" outlineLevel="1" x14ac:dyDescent="0.2">
      <c r="A296" s="48"/>
      <c r="B296" s="81" t="s">
        <v>51</v>
      </c>
      <c r="C296" s="50">
        <v>250</v>
      </c>
      <c r="D296" s="51">
        <f t="shared" ref="D296:AD296" si="202">-$C296*D169</f>
        <v>-750</v>
      </c>
      <c r="E296" s="51">
        <f t="shared" si="202"/>
        <v>-1500</v>
      </c>
      <c r="F296" s="51">
        <f t="shared" si="202"/>
        <v>-2250</v>
      </c>
      <c r="G296" s="51">
        <f t="shared" si="202"/>
        <v>-3750</v>
      </c>
      <c r="H296" s="51">
        <f t="shared" si="202"/>
        <v>-3750</v>
      </c>
      <c r="I296" s="51">
        <f t="shared" si="202"/>
        <v>-6000</v>
      </c>
      <c r="J296" s="51">
        <f t="shared" si="202"/>
        <v>-5250</v>
      </c>
      <c r="K296" s="51">
        <f t="shared" si="202"/>
        <v>-4500</v>
      </c>
      <c r="L296" s="51">
        <f t="shared" si="202"/>
        <v>-3750</v>
      </c>
      <c r="M296" s="51">
        <f t="shared" si="202"/>
        <v>-3750</v>
      </c>
      <c r="N296" s="51">
        <f t="shared" si="202"/>
        <v>-4500</v>
      </c>
      <c r="O296" s="51">
        <f t="shared" si="202"/>
        <v>-6000</v>
      </c>
      <c r="P296" s="51">
        <f t="shared" si="202"/>
        <v>-7500</v>
      </c>
      <c r="Q296" s="51">
        <f t="shared" si="202"/>
        <v>-9000</v>
      </c>
      <c r="R296" s="51">
        <f t="shared" si="202"/>
        <v>-12000</v>
      </c>
      <c r="S296" s="51">
        <f t="shared" si="202"/>
        <v>-11250</v>
      </c>
      <c r="T296" s="51">
        <f t="shared" si="202"/>
        <v>-13500</v>
      </c>
      <c r="U296" s="51">
        <f t="shared" si="202"/>
        <v>-15000</v>
      </c>
      <c r="V296" s="51">
        <f t="shared" si="202"/>
        <v>-12000</v>
      </c>
      <c r="W296" s="51">
        <f t="shared" si="202"/>
        <v>-10500</v>
      </c>
      <c r="X296" s="51">
        <f t="shared" si="202"/>
        <v>-8250</v>
      </c>
      <c r="Y296" s="51">
        <f t="shared" si="202"/>
        <v>-8250</v>
      </c>
      <c r="Z296" s="51">
        <f t="shared" si="202"/>
        <v>-9000</v>
      </c>
      <c r="AA296" s="51">
        <f t="shared" si="202"/>
        <v>-15000</v>
      </c>
      <c r="AB296" s="51">
        <f t="shared" si="202"/>
        <v>-16500</v>
      </c>
      <c r="AC296" s="51">
        <f t="shared" si="202"/>
        <v>-18750</v>
      </c>
      <c r="AD296" s="51">
        <f t="shared" si="202"/>
        <v>-22500</v>
      </c>
      <c r="AE296" s="10"/>
      <c r="AF296" s="10"/>
      <c r="AG296" s="10"/>
      <c r="AH296" s="10"/>
      <c r="AI296" s="10"/>
      <c r="AJ296" s="10"/>
      <c r="AK296" s="10"/>
      <c r="AL296" s="10"/>
      <c r="AM296" s="10"/>
    </row>
    <row r="297" spans="1:39" ht="16.5" hidden="1" customHeight="1" outlineLevel="1" x14ac:dyDescent="0.2">
      <c r="A297" s="48"/>
      <c r="B297" s="46" t="s">
        <v>52</v>
      </c>
      <c r="C297" s="55">
        <v>0.05</v>
      </c>
      <c r="D297" s="51">
        <f t="shared" ref="D297:AD297" si="203">-D161*$C297</f>
        <v>-318.75</v>
      </c>
      <c r="E297" s="51">
        <f t="shared" si="203"/>
        <v>-637.5</v>
      </c>
      <c r="F297" s="51">
        <f t="shared" si="203"/>
        <v>-956.25</v>
      </c>
      <c r="G297" s="51">
        <f t="shared" si="203"/>
        <v>-1593.75</v>
      </c>
      <c r="H297" s="51">
        <f t="shared" si="203"/>
        <v>-1593.75</v>
      </c>
      <c r="I297" s="51">
        <f t="shared" si="203"/>
        <v>-2550</v>
      </c>
      <c r="J297" s="51">
        <f t="shared" si="203"/>
        <v>-2231.25</v>
      </c>
      <c r="K297" s="51">
        <f t="shared" si="203"/>
        <v>-1912.5</v>
      </c>
      <c r="L297" s="51">
        <f t="shared" si="203"/>
        <v>-1593.75</v>
      </c>
      <c r="M297" s="51">
        <f t="shared" si="203"/>
        <v>-1593.75</v>
      </c>
      <c r="N297" s="51">
        <f t="shared" si="203"/>
        <v>-1912.5</v>
      </c>
      <c r="O297" s="51">
        <f t="shared" si="203"/>
        <v>-2550</v>
      </c>
      <c r="P297" s="51">
        <f t="shared" si="203"/>
        <v>-3187.5</v>
      </c>
      <c r="Q297" s="51">
        <f t="shared" si="203"/>
        <v>-3825</v>
      </c>
      <c r="R297" s="51">
        <f t="shared" si="203"/>
        <v>-5100</v>
      </c>
      <c r="S297" s="51">
        <f t="shared" si="203"/>
        <v>-4781.25</v>
      </c>
      <c r="T297" s="51">
        <f t="shared" si="203"/>
        <v>-5737.5</v>
      </c>
      <c r="U297" s="51">
        <f t="shared" si="203"/>
        <v>-6375</v>
      </c>
      <c r="V297" s="51">
        <f t="shared" si="203"/>
        <v>-5100</v>
      </c>
      <c r="W297" s="51">
        <f t="shared" si="203"/>
        <v>-4462.5</v>
      </c>
      <c r="X297" s="51">
        <f t="shared" si="203"/>
        <v>-3506.25</v>
      </c>
      <c r="Y297" s="51">
        <f t="shared" si="203"/>
        <v>-3506.25</v>
      </c>
      <c r="Z297" s="51">
        <f t="shared" si="203"/>
        <v>-3825</v>
      </c>
      <c r="AA297" s="51">
        <f t="shared" si="203"/>
        <v>-6375</v>
      </c>
      <c r="AB297" s="51">
        <f t="shared" si="203"/>
        <v>-7012.5</v>
      </c>
      <c r="AC297" s="51">
        <f t="shared" si="203"/>
        <v>-7968.75</v>
      </c>
      <c r="AD297" s="51">
        <f t="shared" si="203"/>
        <v>-9562.5</v>
      </c>
      <c r="AE297" s="10"/>
      <c r="AF297" s="10"/>
      <c r="AG297" s="10"/>
      <c r="AH297" s="10"/>
      <c r="AI297" s="10"/>
      <c r="AJ297" s="10"/>
      <c r="AK297" s="10"/>
      <c r="AL297" s="10"/>
      <c r="AM297" s="10"/>
    </row>
    <row r="298" spans="1:39" ht="16.5" hidden="1" customHeight="1" outlineLevel="1" x14ac:dyDescent="0.2">
      <c r="A298" s="48"/>
      <c r="B298" s="83" t="s">
        <v>57</v>
      </c>
      <c r="C298" s="55">
        <v>0.01</v>
      </c>
      <c r="D298" s="51">
        <f t="shared" ref="D298:AD298" si="204">-$C298*D161</f>
        <v>-63.75</v>
      </c>
      <c r="E298" s="51">
        <f t="shared" si="204"/>
        <v>-127.5</v>
      </c>
      <c r="F298" s="51">
        <f t="shared" si="204"/>
        <v>-191.25</v>
      </c>
      <c r="G298" s="51">
        <f t="shared" si="204"/>
        <v>-318.75</v>
      </c>
      <c r="H298" s="51">
        <f t="shared" si="204"/>
        <v>-318.75</v>
      </c>
      <c r="I298" s="51">
        <f t="shared" si="204"/>
        <v>-510</v>
      </c>
      <c r="J298" s="51">
        <f t="shared" si="204"/>
        <v>-446.25</v>
      </c>
      <c r="K298" s="51">
        <f t="shared" si="204"/>
        <v>-382.5</v>
      </c>
      <c r="L298" s="51">
        <f t="shared" si="204"/>
        <v>-318.75</v>
      </c>
      <c r="M298" s="51">
        <f t="shared" si="204"/>
        <v>-318.75</v>
      </c>
      <c r="N298" s="51">
        <f t="shared" si="204"/>
        <v>-382.5</v>
      </c>
      <c r="O298" s="51">
        <f t="shared" si="204"/>
        <v>-510</v>
      </c>
      <c r="P298" s="51">
        <f t="shared" si="204"/>
        <v>-637.5</v>
      </c>
      <c r="Q298" s="51">
        <f t="shared" si="204"/>
        <v>-765</v>
      </c>
      <c r="R298" s="51">
        <f t="shared" si="204"/>
        <v>-1020</v>
      </c>
      <c r="S298" s="51">
        <f t="shared" si="204"/>
        <v>-956.25</v>
      </c>
      <c r="T298" s="51">
        <f t="shared" si="204"/>
        <v>-1147.5</v>
      </c>
      <c r="U298" s="51">
        <f t="shared" si="204"/>
        <v>-1275</v>
      </c>
      <c r="V298" s="51">
        <f t="shared" si="204"/>
        <v>-1020</v>
      </c>
      <c r="W298" s="51">
        <f t="shared" si="204"/>
        <v>-892.5</v>
      </c>
      <c r="X298" s="51">
        <f t="shared" si="204"/>
        <v>-701.25</v>
      </c>
      <c r="Y298" s="51">
        <f t="shared" si="204"/>
        <v>-701.25</v>
      </c>
      <c r="Z298" s="51">
        <f t="shared" si="204"/>
        <v>-765</v>
      </c>
      <c r="AA298" s="51">
        <f t="shared" si="204"/>
        <v>-1275</v>
      </c>
      <c r="AB298" s="51">
        <f t="shared" si="204"/>
        <v>-1402.5</v>
      </c>
      <c r="AC298" s="51">
        <f t="shared" si="204"/>
        <v>-1593.75</v>
      </c>
      <c r="AD298" s="51">
        <f t="shared" si="204"/>
        <v>-1912.5</v>
      </c>
      <c r="AE298" s="10"/>
      <c r="AF298" s="10"/>
      <c r="AG298" s="10"/>
      <c r="AH298" s="10"/>
      <c r="AI298" s="10"/>
      <c r="AJ298" s="10"/>
      <c r="AK298" s="10"/>
      <c r="AL298" s="10"/>
      <c r="AM298" s="10"/>
    </row>
    <row r="299" spans="1:39" ht="16.5" hidden="1" customHeight="1" outlineLevel="1" x14ac:dyDescent="0.2">
      <c r="A299" s="48"/>
      <c r="B299" s="46" t="s">
        <v>54</v>
      </c>
      <c r="C299" s="50">
        <v>60</v>
      </c>
      <c r="D299" s="51">
        <f t="shared" ref="D299:AD299" si="205">-$C299*D169</f>
        <v>-180</v>
      </c>
      <c r="E299" s="51">
        <f t="shared" si="205"/>
        <v>-360</v>
      </c>
      <c r="F299" s="51">
        <f t="shared" si="205"/>
        <v>-540</v>
      </c>
      <c r="G299" s="51">
        <f t="shared" si="205"/>
        <v>-900</v>
      </c>
      <c r="H299" s="51">
        <f t="shared" si="205"/>
        <v>-900</v>
      </c>
      <c r="I299" s="51">
        <f t="shared" si="205"/>
        <v>-1440</v>
      </c>
      <c r="J299" s="51">
        <f t="shared" si="205"/>
        <v>-1260</v>
      </c>
      <c r="K299" s="51">
        <f t="shared" si="205"/>
        <v>-1080</v>
      </c>
      <c r="L299" s="51">
        <f t="shared" si="205"/>
        <v>-900</v>
      </c>
      <c r="M299" s="51">
        <f t="shared" si="205"/>
        <v>-900</v>
      </c>
      <c r="N299" s="51">
        <f t="shared" si="205"/>
        <v>-1080</v>
      </c>
      <c r="O299" s="51">
        <f t="shared" si="205"/>
        <v>-1440</v>
      </c>
      <c r="P299" s="51">
        <f t="shared" si="205"/>
        <v>-1800</v>
      </c>
      <c r="Q299" s="51">
        <f t="shared" si="205"/>
        <v>-2160</v>
      </c>
      <c r="R299" s="51">
        <f t="shared" si="205"/>
        <v>-2880</v>
      </c>
      <c r="S299" s="51">
        <f t="shared" si="205"/>
        <v>-2700</v>
      </c>
      <c r="T299" s="51">
        <f t="shared" si="205"/>
        <v>-3240</v>
      </c>
      <c r="U299" s="51">
        <f t="shared" si="205"/>
        <v>-3600</v>
      </c>
      <c r="V299" s="51">
        <f t="shared" si="205"/>
        <v>-2880</v>
      </c>
      <c r="W299" s="51">
        <f t="shared" si="205"/>
        <v>-2520</v>
      </c>
      <c r="X299" s="51">
        <f t="shared" si="205"/>
        <v>-1980</v>
      </c>
      <c r="Y299" s="51">
        <f t="shared" si="205"/>
        <v>-1980</v>
      </c>
      <c r="Z299" s="51">
        <f t="shared" si="205"/>
        <v>-2160</v>
      </c>
      <c r="AA299" s="51">
        <f t="shared" si="205"/>
        <v>-3600</v>
      </c>
      <c r="AB299" s="51">
        <f t="shared" si="205"/>
        <v>-3960</v>
      </c>
      <c r="AC299" s="51">
        <f t="shared" si="205"/>
        <v>-4500</v>
      </c>
      <c r="AD299" s="51">
        <f t="shared" si="205"/>
        <v>-5400</v>
      </c>
      <c r="AE299" s="10"/>
      <c r="AF299" s="10"/>
      <c r="AG299" s="10"/>
      <c r="AH299" s="10"/>
      <c r="AI299" s="10"/>
      <c r="AJ299" s="10"/>
      <c r="AK299" s="10"/>
      <c r="AL299" s="10"/>
      <c r="AM299" s="10"/>
    </row>
    <row r="300" spans="1:39" ht="16.5" customHeight="1" collapsed="1" x14ac:dyDescent="0.25">
      <c r="A300" s="90"/>
      <c r="B300" s="541" t="s">
        <v>434</v>
      </c>
      <c r="C300" s="89"/>
      <c r="D300" s="80">
        <f t="shared" ref="D300:AD300" si="206">SUM(D301:D305)</f>
        <v>-2374.8000000000002</v>
      </c>
      <c r="E300" s="80">
        <f t="shared" si="206"/>
        <v>-4749.6000000000004</v>
      </c>
      <c r="F300" s="80">
        <f t="shared" si="206"/>
        <v>-7124.4</v>
      </c>
      <c r="G300" s="80">
        <f t="shared" si="206"/>
        <v>-11874</v>
      </c>
      <c r="H300" s="80">
        <f t="shared" si="206"/>
        <v>-11874</v>
      </c>
      <c r="I300" s="80">
        <f t="shared" si="206"/>
        <v>-18998.400000000001</v>
      </c>
      <c r="J300" s="80">
        <f t="shared" si="206"/>
        <v>-16623.599999999999</v>
      </c>
      <c r="K300" s="80">
        <f t="shared" si="206"/>
        <v>-14248.8</v>
      </c>
      <c r="L300" s="80">
        <f t="shared" si="206"/>
        <v>-11874</v>
      </c>
      <c r="M300" s="80">
        <f t="shared" si="206"/>
        <v>-11874</v>
      </c>
      <c r="N300" s="80">
        <f t="shared" si="206"/>
        <v>-14248.8</v>
      </c>
      <c r="O300" s="80">
        <f t="shared" si="206"/>
        <v>-18998.400000000001</v>
      </c>
      <c r="P300" s="80">
        <f t="shared" si="206"/>
        <v>-23748</v>
      </c>
      <c r="Q300" s="80">
        <f t="shared" si="206"/>
        <v>-28497.599999999999</v>
      </c>
      <c r="R300" s="80">
        <f t="shared" si="206"/>
        <v>-37996.800000000003</v>
      </c>
      <c r="S300" s="80">
        <f t="shared" si="206"/>
        <v>-35622</v>
      </c>
      <c r="T300" s="80">
        <f t="shared" si="206"/>
        <v>-42746.400000000001</v>
      </c>
      <c r="U300" s="80">
        <f t="shared" si="206"/>
        <v>-47496</v>
      </c>
      <c r="V300" s="80">
        <f t="shared" si="206"/>
        <v>-37996.800000000003</v>
      </c>
      <c r="W300" s="80">
        <f t="shared" si="206"/>
        <v>-33247.199999999997</v>
      </c>
      <c r="X300" s="80">
        <f t="shared" si="206"/>
        <v>-26122.799999999999</v>
      </c>
      <c r="Y300" s="80">
        <f t="shared" si="206"/>
        <v>-26122.799999999999</v>
      </c>
      <c r="Z300" s="80">
        <f t="shared" si="206"/>
        <v>-28497.599999999999</v>
      </c>
      <c r="AA300" s="80">
        <f t="shared" si="206"/>
        <v>-47496</v>
      </c>
      <c r="AB300" s="80">
        <f t="shared" si="206"/>
        <v>-52245.599999999999</v>
      </c>
      <c r="AC300" s="80">
        <f t="shared" si="206"/>
        <v>-59370</v>
      </c>
      <c r="AD300" s="80">
        <f t="shared" si="206"/>
        <v>-71244</v>
      </c>
      <c r="AE300" s="87"/>
      <c r="AF300" s="87"/>
      <c r="AG300" s="87"/>
      <c r="AH300" s="87"/>
      <c r="AI300" s="87"/>
      <c r="AJ300" s="87"/>
      <c r="AK300" s="87"/>
      <c r="AL300" s="87"/>
      <c r="AM300" s="87"/>
    </row>
    <row r="301" spans="1:39" ht="16.5" hidden="1" customHeight="1" outlineLevel="1" x14ac:dyDescent="0.2">
      <c r="A301" s="48"/>
      <c r="B301" s="46" t="s">
        <v>56</v>
      </c>
      <c r="C301" s="55">
        <v>0.1</v>
      </c>
      <c r="D301" s="51">
        <f t="shared" ref="D301:AD301" si="207">-D171*$C301</f>
        <v>-790.5</v>
      </c>
      <c r="E301" s="51">
        <f t="shared" si="207"/>
        <v>-1581</v>
      </c>
      <c r="F301" s="51">
        <f t="shared" si="207"/>
        <v>-2371.5</v>
      </c>
      <c r="G301" s="51">
        <f t="shared" si="207"/>
        <v>-3952.5</v>
      </c>
      <c r="H301" s="51">
        <f t="shared" si="207"/>
        <v>-3952.5</v>
      </c>
      <c r="I301" s="51">
        <f t="shared" si="207"/>
        <v>-6324</v>
      </c>
      <c r="J301" s="51">
        <f t="shared" si="207"/>
        <v>-5533.5</v>
      </c>
      <c r="K301" s="51">
        <f t="shared" si="207"/>
        <v>-4743</v>
      </c>
      <c r="L301" s="51">
        <f t="shared" si="207"/>
        <v>-3952.5</v>
      </c>
      <c r="M301" s="51">
        <f t="shared" si="207"/>
        <v>-3952.5</v>
      </c>
      <c r="N301" s="51">
        <f t="shared" si="207"/>
        <v>-4743</v>
      </c>
      <c r="O301" s="51">
        <f t="shared" si="207"/>
        <v>-6324</v>
      </c>
      <c r="P301" s="51">
        <f t="shared" si="207"/>
        <v>-7905</v>
      </c>
      <c r="Q301" s="51">
        <f t="shared" si="207"/>
        <v>-9486</v>
      </c>
      <c r="R301" s="51">
        <f t="shared" si="207"/>
        <v>-12648</v>
      </c>
      <c r="S301" s="51">
        <f t="shared" si="207"/>
        <v>-11857.5</v>
      </c>
      <c r="T301" s="51">
        <f t="shared" si="207"/>
        <v>-14229</v>
      </c>
      <c r="U301" s="51">
        <f t="shared" si="207"/>
        <v>-15810</v>
      </c>
      <c r="V301" s="51">
        <f t="shared" si="207"/>
        <v>-12648</v>
      </c>
      <c r="W301" s="51">
        <f t="shared" si="207"/>
        <v>-11067</v>
      </c>
      <c r="X301" s="51">
        <f t="shared" si="207"/>
        <v>-8695.5</v>
      </c>
      <c r="Y301" s="51">
        <f t="shared" si="207"/>
        <v>-8695.5</v>
      </c>
      <c r="Z301" s="51">
        <f t="shared" si="207"/>
        <v>-9486</v>
      </c>
      <c r="AA301" s="51">
        <f t="shared" si="207"/>
        <v>-15810</v>
      </c>
      <c r="AB301" s="51">
        <f t="shared" si="207"/>
        <v>-17391</v>
      </c>
      <c r="AC301" s="51">
        <f t="shared" si="207"/>
        <v>-19762.5</v>
      </c>
      <c r="AD301" s="51">
        <f t="shared" si="207"/>
        <v>-23715</v>
      </c>
      <c r="AE301" s="10"/>
      <c r="AF301" s="10"/>
      <c r="AG301" s="10"/>
      <c r="AH301" s="10"/>
      <c r="AI301" s="10"/>
      <c r="AJ301" s="10"/>
      <c r="AK301" s="10"/>
      <c r="AL301" s="10"/>
      <c r="AM301" s="10"/>
    </row>
    <row r="302" spans="1:39" ht="16.5" hidden="1" customHeight="1" outlineLevel="1" x14ac:dyDescent="0.2">
      <c r="A302" s="48"/>
      <c r="B302" s="81" t="s">
        <v>51</v>
      </c>
      <c r="C302" s="50">
        <v>310</v>
      </c>
      <c r="D302" s="51">
        <f t="shared" ref="D302:AD302" si="208">-$C302*D179</f>
        <v>-930</v>
      </c>
      <c r="E302" s="51">
        <f t="shared" si="208"/>
        <v>-1860</v>
      </c>
      <c r="F302" s="51">
        <f t="shared" si="208"/>
        <v>-2790</v>
      </c>
      <c r="G302" s="51">
        <f t="shared" si="208"/>
        <v>-4650</v>
      </c>
      <c r="H302" s="51">
        <f t="shared" si="208"/>
        <v>-4650</v>
      </c>
      <c r="I302" s="51">
        <f t="shared" si="208"/>
        <v>-7440</v>
      </c>
      <c r="J302" s="51">
        <f t="shared" si="208"/>
        <v>-6510</v>
      </c>
      <c r="K302" s="51">
        <f t="shared" si="208"/>
        <v>-5580</v>
      </c>
      <c r="L302" s="51">
        <f t="shared" si="208"/>
        <v>-4650</v>
      </c>
      <c r="M302" s="51">
        <f t="shared" si="208"/>
        <v>-4650</v>
      </c>
      <c r="N302" s="51">
        <f t="shared" si="208"/>
        <v>-5580</v>
      </c>
      <c r="O302" s="51">
        <f t="shared" si="208"/>
        <v>-7440</v>
      </c>
      <c r="P302" s="51">
        <f t="shared" si="208"/>
        <v>-9300</v>
      </c>
      <c r="Q302" s="51">
        <f t="shared" si="208"/>
        <v>-11160</v>
      </c>
      <c r="R302" s="51">
        <f t="shared" si="208"/>
        <v>-14880</v>
      </c>
      <c r="S302" s="51">
        <f t="shared" si="208"/>
        <v>-13950</v>
      </c>
      <c r="T302" s="51">
        <f t="shared" si="208"/>
        <v>-16740</v>
      </c>
      <c r="U302" s="51">
        <f t="shared" si="208"/>
        <v>-18600</v>
      </c>
      <c r="V302" s="51">
        <f t="shared" si="208"/>
        <v>-14880</v>
      </c>
      <c r="W302" s="51">
        <f t="shared" si="208"/>
        <v>-13020</v>
      </c>
      <c r="X302" s="51">
        <f t="shared" si="208"/>
        <v>-10230</v>
      </c>
      <c r="Y302" s="51">
        <f t="shared" si="208"/>
        <v>-10230</v>
      </c>
      <c r="Z302" s="51">
        <f t="shared" si="208"/>
        <v>-11160</v>
      </c>
      <c r="AA302" s="51">
        <f t="shared" si="208"/>
        <v>-18600</v>
      </c>
      <c r="AB302" s="51">
        <f t="shared" si="208"/>
        <v>-20460</v>
      </c>
      <c r="AC302" s="51">
        <f t="shared" si="208"/>
        <v>-23250</v>
      </c>
      <c r="AD302" s="51">
        <f t="shared" si="208"/>
        <v>-27900</v>
      </c>
      <c r="AE302" s="10"/>
      <c r="AF302" s="10"/>
      <c r="AG302" s="10"/>
      <c r="AH302" s="10"/>
      <c r="AI302" s="10"/>
      <c r="AJ302" s="10"/>
      <c r="AK302" s="10"/>
      <c r="AL302" s="10"/>
      <c r="AM302" s="10"/>
    </row>
    <row r="303" spans="1:39" ht="16.5" hidden="1" customHeight="1" outlineLevel="1" x14ac:dyDescent="0.2">
      <c r="A303" s="48"/>
      <c r="B303" s="46" t="s">
        <v>52</v>
      </c>
      <c r="C303" s="55">
        <v>0.05</v>
      </c>
      <c r="D303" s="51">
        <f t="shared" ref="D303:AD303" si="209">-D171*$C303</f>
        <v>-395.25</v>
      </c>
      <c r="E303" s="51">
        <f t="shared" si="209"/>
        <v>-790.5</v>
      </c>
      <c r="F303" s="51">
        <f t="shared" si="209"/>
        <v>-1185.75</v>
      </c>
      <c r="G303" s="51">
        <f t="shared" si="209"/>
        <v>-1976.25</v>
      </c>
      <c r="H303" s="51">
        <f t="shared" si="209"/>
        <v>-1976.25</v>
      </c>
      <c r="I303" s="51">
        <f t="shared" si="209"/>
        <v>-3162</v>
      </c>
      <c r="J303" s="51">
        <f t="shared" si="209"/>
        <v>-2766.75</v>
      </c>
      <c r="K303" s="51">
        <f t="shared" si="209"/>
        <v>-2371.5</v>
      </c>
      <c r="L303" s="51">
        <f t="shared" si="209"/>
        <v>-1976.25</v>
      </c>
      <c r="M303" s="51">
        <f t="shared" si="209"/>
        <v>-1976.25</v>
      </c>
      <c r="N303" s="51">
        <f t="shared" si="209"/>
        <v>-2371.5</v>
      </c>
      <c r="O303" s="51">
        <f t="shared" si="209"/>
        <v>-3162</v>
      </c>
      <c r="P303" s="51">
        <f t="shared" si="209"/>
        <v>-3952.5</v>
      </c>
      <c r="Q303" s="51">
        <f t="shared" si="209"/>
        <v>-4743</v>
      </c>
      <c r="R303" s="51">
        <f t="shared" si="209"/>
        <v>-6324</v>
      </c>
      <c r="S303" s="51">
        <f t="shared" si="209"/>
        <v>-5928.75</v>
      </c>
      <c r="T303" s="51">
        <f t="shared" si="209"/>
        <v>-7114.5</v>
      </c>
      <c r="U303" s="51">
        <f t="shared" si="209"/>
        <v>-7905</v>
      </c>
      <c r="V303" s="51">
        <f t="shared" si="209"/>
        <v>-6324</v>
      </c>
      <c r="W303" s="51">
        <f t="shared" si="209"/>
        <v>-5533.5</v>
      </c>
      <c r="X303" s="51">
        <f t="shared" si="209"/>
        <v>-4347.75</v>
      </c>
      <c r="Y303" s="51">
        <f t="shared" si="209"/>
        <v>-4347.75</v>
      </c>
      <c r="Z303" s="51">
        <f t="shared" si="209"/>
        <v>-4743</v>
      </c>
      <c r="AA303" s="51">
        <f t="shared" si="209"/>
        <v>-7905</v>
      </c>
      <c r="AB303" s="51">
        <f t="shared" si="209"/>
        <v>-8695.5</v>
      </c>
      <c r="AC303" s="51">
        <f t="shared" si="209"/>
        <v>-9881.25</v>
      </c>
      <c r="AD303" s="51">
        <f t="shared" si="209"/>
        <v>-11857.5</v>
      </c>
      <c r="AE303" s="10"/>
      <c r="AF303" s="10"/>
      <c r="AG303" s="10"/>
      <c r="AH303" s="10"/>
      <c r="AI303" s="10"/>
      <c r="AJ303" s="10"/>
      <c r="AK303" s="10"/>
      <c r="AL303" s="10"/>
      <c r="AM303" s="10"/>
    </row>
    <row r="304" spans="1:39" ht="16.5" hidden="1" customHeight="1" outlineLevel="1" x14ac:dyDescent="0.2">
      <c r="A304" s="48"/>
      <c r="B304" s="83" t="s">
        <v>57</v>
      </c>
      <c r="C304" s="55">
        <v>0.01</v>
      </c>
      <c r="D304" s="51">
        <f t="shared" ref="D304:AD304" si="210">-$C304*D171</f>
        <v>-79.05</v>
      </c>
      <c r="E304" s="51">
        <f t="shared" si="210"/>
        <v>-158.1</v>
      </c>
      <c r="F304" s="51">
        <f t="shared" si="210"/>
        <v>-237.15</v>
      </c>
      <c r="G304" s="51">
        <f t="shared" si="210"/>
        <v>-395.25</v>
      </c>
      <c r="H304" s="51">
        <f t="shared" si="210"/>
        <v>-395.25</v>
      </c>
      <c r="I304" s="51">
        <f t="shared" si="210"/>
        <v>-632.4</v>
      </c>
      <c r="J304" s="51">
        <f t="shared" si="210"/>
        <v>-553.35</v>
      </c>
      <c r="K304" s="51">
        <f t="shared" si="210"/>
        <v>-474.3</v>
      </c>
      <c r="L304" s="51">
        <f t="shared" si="210"/>
        <v>-395.25</v>
      </c>
      <c r="M304" s="51">
        <f t="shared" si="210"/>
        <v>-395.25</v>
      </c>
      <c r="N304" s="51">
        <f t="shared" si="210"/>
        <v>-474.3</v>
      </c>
      <c r="O304" s="51">
        <f t="shared" si="210"/>
        <v>-632.4</v>
      </c>
      <c r="P304" s="51">
        <f t="shared" si="210"/>
        <v>-790.5</v>
      </c>
      <c r="Q304" s="51">
        <f t="shared" si="210"/>
        <v>-948.6</v>
      </c>
      <c r="R304" s="51">
        <f t="shared" si="210"/>
        <v>-1264.8</v>
      </c>
      <c r="S304" s="51">
        <f t="shared" si="210"/>
        <v>-1185.75</v>
      </c>
      <c r="T304" s="51">
        <f t="shared" si="210"/>
        <v>-1422.9</v>
      </c>
      <c r="U304" s="51">
        <f t="shared" si="210"/>
        <v>-1581</v>
      </c>
      <c r="V304" s="51">
        <f t="shared" si="210"/>
        <v>-1264.8</v>
      </c>
      <c r="W304" s="51">
        <f t="shared" si="210"/>
        <v>-1106.7</v>
      </c>
      <c r="X304" s="51">
        <f t="shared" si="210"/>
        <v>-869.55000000000007</v>
      </c>
      <c r="Y304" s="51">
        <f t="shared" si="210"/>
        <v>-869.55000000000007</v>
      </c>
      <c r="Z304" s="51">
        <f t="shared" si="210"/>
        <v>-948.6</v>
      </c>
      <c r="AA304" s="51">
        <f t="shared" si="210"/>
        <v>-1581</v>
      </c>
      <c r="AB304" s="51">
        <f t="shared" si="210"/>
        <v>-1739.1000000000001</v>
      </c>
      <c r="AC304" s="51">
        <f t="shared" si="210"/>
        <v>-1976.25</v>
      </c>
      <c r="AD304" s="51">
        <f t="shared" si="210"/>
        <v>-2371.5</v>
      </c>
      <c r="AE304" s="10"/>
      <c r="AF304" s="10"/>
      <c r="AG304" s="10"/>
      <c r="AH304" s="10"/>
      <c r="AI304" s="10"/>
      <c r="AJ304" s="10"/>
      <c r="AK304" s="10"/>
      <c r="AL304" s="10"/>
      <c r="AM304" s="10"/>
    </row>
    <row r="305" spans="1:39" ht="15.75" hidden="1" customHeight="1" outlineLevel="1" x14ac:dyDescent="0.2">
      <c r="A305" s="16"/>
      <c r="B305" s="46" t="s">
        <v>54</v>
      </c>
      <c r="C305" s="50">
        <v>60</v>
      </c>
      <c r="D305" s="51">
        <f t="shared" ref="D305:AD305" si="211">-$C305*D179</f>
        <v>-180</v>
      </c>
      <c r="E305" s="51">
        <f t="shared" si="211"/>
        <v>-360</v>
      </c>
      <c r="F305" s="51">
        <f t="shared" si="211"/>
        <v>-540</v>
      </c>
      <c r="G305" s="51">
        <f t="shared" si="211"/>
        <v>-900</v>
      </c>
      <c r="H305" s="51">
        <f t="shared" si="211"/>
        <v>-900</v>
      </c>
      <c r="I305" s="51">
        <f t="shared" si="211"/>
        <v>-1440</v>
      </c>
      <c r="J305" s="51">
        <f t="shared" si="211"/>
        <v>-1260</v>
      </c>
      <c r="K305" s="51">
        <f t="shared" si="211"/>
        <v>-1080</v>
      </c>
      <c r="L305" s="51">
        <f t="shared" si="211"/>
        <v>-900</v>
      </c>
      <c r="M305" s="51">
        <f t="shared" si="211"/>
        <v>-900</v>
      </c>
      <c r="N305" s="51">
        <f t="shared" si="211"/>
        <v>-1080</v>
      </c>
      <c r="O305" s="51">
        <f t="shared" si="211"/>
        <v>-1440</v>
      </c>
      <c r="P305" s="51">
        <f t="shared" si="211"/>
        <v>-1800</v>
      </c>
      <c r="Q305" s="51">
        <f t="shared" si="211"/>
        <v>-2160</v>
      </c>
      <c r="R305" s="51">
        <f t="shared" si="211"/>
        <v>-2880</v>
      </c>
      <c r="S305" s="51">
        <f t="shared" si="211"/>
        <v>-2700</v>
      </c>
      <c r="T305" s="51">
        <f t="shared" si="211"/>
        <v>-3240</v>
      </c>
      <c r="U305" s="51">
        <f t="shared" si="211"/>
        <v>-3600</v>
      </c>
      <c r="V305" s="51">
        <f t="shared" si="211"/>
        <v>-2880</v>
      </c>
      <c r="W305" s="51">
        <f t="shared" si="211"/>
        <v>-2520</v>
      </c>
      <c r="X305" s="51">
        <f t="shared" si="211"/>
        <v>-1980</v>
      </c>
      <c r="Y305" s="51">
        <f t="shared" si="211"/>
        <v>-1980</v>
      </c>
      <c r="Z305" s="51">
        <f t="shared" si="211"/>
        <v>-2160</v>
      </c>
      <c r="AA305" s="51">
        <f t="shared" si="211"/>
        <v>-3600</v>
      </c>
      <c r="AB305" s="51">
        <f t="shared" si="211"/>
        <v>-3960</v>
      </c>
      <c r="AC305" s="51">
        <f t="shared" si="211"/>
        <v>-4500</v>
      </c>
      <c r="AD305" s="51">
        <f t="shared" si="211"/>
        <v>-5400</v>
      </c>
      <c r="AE305" s="10"/>
      <c r="AF305" s="10"/>
      <c r="AG305" s="10"/>
      <c r="AH305" s="10"/>
      <c r="AI305" s="10"/>
      <c r="AJ305" s="10"/>
      <c r="AK305" s="10"/>
      <c r="AL305" s="10"/>
      <c r="AM305" s="10"/>
    </row>
    <row r="306" spans="1:39" ht="15.75" customHeight="1" collapsed="1" x14ac:dyDescent="0.25">
      <c r="A306" s="84"/>
      <c r="B306" s="541" t="s">
        <v>435</v>
      </c>
      <c r="C306" s="85"/>
      <c r="D306" s="86">
        <f t="shared" ref="D306:AD306" si="212">SUM(D307:D311)</f>
        <v>-2374.8000000000002</v>
      </c>
      <c r="E306" s="86">
        <f t="shared" si="212"/>
        <v>-4749.6000000000004</v>
      </c>
      <c r="F306" s="86">
        <f t="shared" si="212"/>
        <v>-7124.4</v>
      </c>
      <c r="G306" s="86">
        <f t="shared" si="212"/>
        <v>-11874</v>
      </c>
      <c r="H306" s="86">
        <f t="shared" si="212"/>
        <v>-11874</v>
      </c>
      <c r="I306" s="86">
        <f t="shared" si="212"/>
        <v>-18998.400000000001</v>
      </c>
      <c r="J306" s="86">
        <f t="shared" si="212"/>
        <v>-16623.599999999999</v>
      </c>
      <c r="K306" s="86">
        <f t="shared" si="212"/>
        <v>-14248.8</v>
      </c>
      <c r="L306" s="86">
        <f t="shared" si="212"/>
        <v>-11874</v>
      </c>
      <c r="M306" s="86">
        <f t="shared" si="212"/>
        <v>-11874</v>
      </c>
      <c r="N306" s="86">
        <f t="shared" si="212"/>
        <v>-14248.8</v>
      </c>
      <c r="O306" s="86">
        <f t="shared" si="212"/>
        <v>-18998.400000000001</v>
      </c>
      <c r="P306" s="86">
        <f t="shared" si="212"/>
        <v>-23748</v>
      </c>
      <c r="Q306" s="86">
        <f t="shared" si="212"/>
        <v>-28497.599999999999</v>
      </c>
      <c r="R306" s="86">
        <f t="shared" si="212"/>
        <v>-37996.800000000003</v>
      </c>
      <c r="S306" s="86">
        <f t="shared" si="212"/>
        <v>-35622</v>
      </c>
      <c r="T306" s="86">
        <f t="shared" si="212"/>
        <v>-42746.400000000001</v>
      </c>
      <c r="U306" s="86">
        <f t="shared" si="212"/>
        <v>-47496</v>
      </c>
      <c r="V306" s="86">
        <f t="shared" si="212"/>
        <v>-37996.800000000003</v>
      </c>
      <c r="W306" s="86">
        <f t="shared" si="212"/>
        <v>-33247.199999999997</v>
      </c>
      <c r="X306" s="86">
        <f t="shared" si="212"/>
        <v>-26122.799999999999</v>
      </c>
      <c r="Y306" s="86">
        <f t="shared" si="212"/>
        <v>-26122.799999999999</v>
      </c>
      <c r="Z306" s="86">
        <f t="shared" si="212"/>
        <v>-28497.599999999999</v>
      </c>
      <c r="AA306" s="86">
        <f t="shared" si="212"/>
        <v>-47496</v>
      </c>
      <c r="AB306" s="86">
        <f t="shared" si="212"/>
        <v>-52245.599999999999</v>
      </c>
      <c r="AC306" s="86">
        <f t="shared" si="212"/>
        <v>-59370</v>
      </c>
      <c r="AD306" s="86">
        <f t="shared" si="212"/>
        <v>-71244</v>
      </c>
      <c r="AE306" s="87"/>
      <c r="AF306" s="87"/>
      <c r="AG306" s="87"/>
      <c r="AH306" s="87"/>
      <c r="AI306" s="87"/>
      <c r="AJ306" s="87"/>
      <c r="AK306" s="87"/>
      <c r="AL306" s="87"/>
      <c r="AM306" s="87"/>
    </row>
    <row r="307" spans="1:39" ht="15.75" hidden="1" customHeight="1" outlineLevel="1" x14ac:dyDescent="0.2">
      <c r="A307" s="16"/>
      <c r="B307" s="46" t="s">
        <v>56</v>
      </c>
      <c r="C307" s="55">
        <v>0.1</v>
      </c>
      <c r="D307" s="51">
        <f t="shared" ref="D307:AD307" si="213">-$C307*D181</f>
        <v>-790.5</v>
      </c>
      <c r="E307" s="51">
        <f t="shared" si="213"/>
        <v>-1581</v>
      </c>
      <c r="F307" s="51">
        <f t="shared" si="213"/>
        <v>-2371.5</v>
      </c>
      <c r="G307" s="51">
        <f t="shared" si="213"/>
        <v>-3952.5</v>
      </c>
      <c r="H307" s="51">
        <f t="shared" si="213"/>
        <v>-3952.5</v>
      </c>
      <c r="I307" s="51">
        <f t="shared" si="213"/>
        <v>-6324</v>
      </c>
      <c r="J307" s="51">
        <f t="shared" si="213"/>
        <v>-5533.5</v>
      </c>
      <c r="K307" s="51">
        <f t="shared" si="213"/>
        <v>-4743</v>
      </c>
      <c r="L307" s="51">
        <f t="shared" si="213"/>
        <v>-3952.5</v>
      </c>
      <c r="M307" s="51">
        <f t="shared" si="213"/>
        <v>-3952.5</v>
      </c>
      <c r="N307" s="51">
        <f t="shared" si="213"/>
        <v>-4743</v>
      </c>
      <c r="O307" s="51">
        <f t="shared" si="213"/>
        <v>-6324</v>
      </c>
      <c r="P307" s="51">
        <f t="shared" si="213"/>
        <v>-7905</v>
      </c>
      <c r="Q307" s="51">
        <f t="shared" si="213"/>
        <v>-9486</v>
      </c>
      <c r="R307" s="51">
        <f t="shared" si="213"/>
        <v>-12648</v>
      </c>
      <c r="S307" s="51">
        <f t="shared" si="213"/>
        <v>-11857.5</v>
      </c>
      <c r="T307" s="51">
        <f t="shared" si="213"/>
        <v>-14229</v>
      </c>
      <c r="U307" s="51">
        <f t="shared" si="213"/>
        <v>-15810</v>
      </c>
      <c r="V307" s="51">
        <f t="shared" si="213"/>
        <v>-12648</v>
      </c>
      <c r="W307" s="51">
        <f t="shared" si="213"/>
        <v>-11067</v>
      </c>
      <c r="X307" s="51">
        <f t="shared" si="213"/>
        <v>-8695.5</v>
      </c>
      <c r="Y307" s="51">
        <f t="shared" si="213"/>
        <v>-8695.5</v>
      </c>
      <c r="Z307" s="51">
        <f t="shared" si="213"/>
        <v>-9486</v>
      </c>
      <c r="AA307" s="51">
        <f t="shared" si="213"/>
        <v>-15810</v>
      </c>
      <c r="AB307" s="51">
        <f t="shared" si="213"/>
        <v>-17391</v>
      </c>
      <c r="AC307" s="51">
        <f t="shared" si="213"/>
        <v>-19762.5</v>
      </c>
      <c r="AD307" s="51">
        <f t="shared" si="213"/>
        <v>-23715</v>
      </c>
      <c r="AE307" s="10"/>
      <c r="AF307" s="10"/>
      <c r="AG307" s="10"/>
      <c r="AH307" s="10"/>
      <c r="AI307" s="10"/>
      <c r="AJ307" s="10"/>
      <c r="AK307" s="10"/>
      <c r="AL307" s="10"/>
      <c r="AM307" s="10"/>
    </row>
    <row r="308" spans="1:39" ht="15.75" hidden="1" customHeight="1" outlineLevel="1" x14ac:dyDescent="0.2">
      <c r="A308" s="16"/>
      <c r="B308" s="81" t="s">
        <v>51</v>
      </c>
      <c r="C308" s="50">
        <v>310</v>
      </c>
      <c r="D308" s="51">
        <f t="shared" ref="D308:AD308" si="214">-$C308*D189</f>
        <v>-930</v>
      </c>
      <c r="E308" s="51">
        <f t="shared" si="214"/>
        <v>-1860</v>
      </c>
      <c r="F308" s="51">
        <f t="shared" si="214"/>
        <v>-2790</v>
      </c>
      <c r="G308" s="51">
        <f t="shared" si="214"/>
        <v>-4650</v>
      </c>
      <c r="H308" s="51">
        <f t="shared" si="214"/>
        <v>-4650</v>
      </c>
      <c r="I308" s="51">
        <f t="shared" si="214"/>
        <v>-7440</v>
      </c>
      <c r="J308" s="51">
        <f t="shared" si="214"/>
        <v>-6510</v>
      </c>
      <c r="K308" s="51">
        <f t="shared" si="214"/>
        <v>-5580</v>
      </c>
      <c r="L308" s="51">
        <f t="shared" si="214"/>
        <v>-4650</v>
      </c>
      <c r="M308" s="51">
        <f t="shared" si="214"/>
        <v>-4650</v>
      </c>
      <c r="N308" s="51">
        <f t="shared" si="214"/>
        <v>-5580</v>
      </c>
      <c r="O308" s="51">
        <f t="shared" si="214"/>
        <v>-7440</v>
      </c>
      <c r="P308" s="51">
        <f t="shared" si="214"/>
        <v>-9300</v>
      </c>
      <c r="Q308" s="51">
        <f t="shared" si="214"/>
        <v>-11160</v>
      </c>
      <c r="R308" s="51">
        <f t="shared" si="214"/>
        <v>-14880</v>
      </c>
      <c r="S308" s="51">
        <f t="shared" si="214"/>
        <v>-13950</v>
      </c>
      <c r="T308" s="51">
        <f t="shared" si="214"/>
        <v>-16740</v>
      </c>
      <c r="U308" s="51">
        <f t="shared" si="214"/>
        <v>-18600</v>
      </c>
      <c r="V308" s="51">
        <f t="shared" si="214"/>
        <v>-14880</v>
      </c>
      <c r="W308" s="51">
        <f t="shared" si="214"/>
        <v>-13020</v>
      </c>
      <c r="X308" s="51">
        <f t="shared" si="214"/>
        <v>-10230</v>
      </c>
      <c r="Y308" s="51">
        <f t="shared" si="214"/>
        <v>-10230</v>
      </c>
      <c r="Z308" s="51">
        <f t="shared" si="214"/>
        <v>-11160</v>
      </c>
      <c r="AA308" s="51">
        <f t="shared" si="214"/>
        <v>-18600</v>
      </c>
      <c r="AB308" s="51">
        <f t="shared" si="214"/>
        <v>-20460</v>
      </c>
      <c r="AC308" s="51">
        <f t="shared" si="214"/>
        <v>-23250</v>
      </c>
      <c r="AD308" s="51">
        <f t="shared" si="214"/>
        <v>-27900</v>
      </c>
      <c r="AE308" s="10"/>
      <c r="AF308" s="10"/>
      <c r="AG308" s="10"/>
      <c r="AH308" s="10"/>
      <c r="AI308" s="10"/>
      <c r="AJ308" s="10"/>
      <c r="AK308" s="10"/>
      <c r="AL308" s="10"/>
      <c r="AM308" s="10"/>
    </row>
    <row r="309" spans="1:39" ht="15.75" hidden="1" customHeight="1" outlineLevel="1" x14ac:dyDescent="0.2">
      <c r="A309" s="16"/>
      <c r="B309" s="46" t="s">
        <v>52</v>
      </c>
      <c r="C309" s="55">
        <v>0.05</v>
      </c>
      <c r="D309" s="51">
        <f t="shared" ref="D309:AD309" si="215">-$C309*D181</f>
        <v>-395.25</v>
      </c>
      <c r="E309" s="51">
        <f t="shared" si="215"/>
        <v>-790.5</v>
      </c>
      <c r="F309" s="51">
        <f t="shared" si="215"/>
        <v>-1185.75</v>
      </c>
      <c r="G309" s="51">
        <f t="shared" si="215"/>
        <v>-1976.25</v>
      </c>
      <c r="H309" s="51">
        <f t="shared" si="215"/>
        <v>-1976.25</v>
      </c>
      <c r="I309" s="51">
        <f t="shared" si="215"/>
        <v>-3162</v>
      </c>
      <c r="J309" s="51">
        <f t="shared" si="215"/>
        <v>-2766.75</v>
      </c>
      <c r="K309" s="51">
        <f t="shared" si="215"/>
        <v>-2371.5</v>
      </c>
      <c r="L309" s="51">
        <f t="shared" si="215"/>
        <v>-1976.25</v>
      </c>
      <c r="M309" s="51">
        <f t="shared" si="215"/>
        <v>-1976.25</v>
      </c>
      <c r="N309" s="51">
        <f t="shared" si="215"/>
        <v>-2371.5</v>
      </c>
      <c r="O309" s="51">
        <f t="shared" si="215"/>
        <v>-3162</v>
      </c>
      <c r="P309" s="51">
        <f t="shared" si="215"/>
        <v>-3952.5</v>
      </c>
      <c r="Q309" s="51">
        <f t="shared" si="215"/>
        <v>-4743</v>
      </c>
      <c r="R309" s="51">
        <f t="shared" si="215"/>
        <v>-6324</v>
      </c>
      <c r="S309" s="51">
        <f t="shared" si="215"/>
        <v>-5928.75</v>
      </c>
      <c r="T309" s="51">
        <f t="shared" si="215"/>
        <v>-7114.5</v>
      </c>
      <c r="U309" s="51">
        <f t="shared" si="215"/>
        <v>-7905</v>
      </c>
      <c r="V309" s="51">
        <f t="shared" si="215"/>
        <v>-6324</v>
      </c>
      <c r="W309" s="51">
        <f t="shared" si="215"/>
        <v>-5533.5</v>
      </c>
      <c r="X309" s="51">
        <f t="shared" si="215"/>
        <v>-4347.75</v>
      </c>
      <c r="Y309" s="51">
        <f t="shared" si="215"/>
        <v>-4347.75</v>
      </c>
      <c r="Z309" s="51">
        <f t="shared" si="215"/>
        <v>-4743</v>
      </c>
      <c r="AA309" s="51">
        <f t="shared" si="215"/>
        <v>-7905</v>
      </c>
      <c r="AB309" s="51">
        <f t="shared" si="215"/>
        <v>-8695.5</v>
      </c>
      <c r="AC309" s="51">
        <f t="shared" si="215"/>
        <v>-9881.25</v>
      </c>
      <c r="AD309" s="51">
        <f t="shared" si="215"/>
        <v>-11857.5</v>
      </c>
      <c r="AE309" s="10"/>
      <c r="AF309" s="10"/>
      <c r="AG309" s="10"/>
      <c r="AH309" s="10"/>
      <c r="AI309" s="10"/>
      <c r="AJ309" s="10"/>
      <c r="AK309" s="10"/>
      <c r="AL309" s="10"/>
      <c r="AM309" s="10"/>
    </row>
    <row r="310" spans="1:39" ht="15.75" hidden="1" customHeight="1" outlineLevel="1" x14ac:dyDescent="0.2">
      <c r="A310" s="16"/>
      <c r="B310" s="83" t="s">
        <v>57</v>
      </c>
      <c r="C310" s="55">
        <v>0.01</v>
      </c>
      <c r="D310" s="51">
        <f t="shared" ref="D310:AD310" si="216">-$C310*D181</f>
        <v>-79.05</v>
      </c>
      <c r="E310" s="51">
        <f t="shared" si="216"/>
        <v>-158.1</v>
      </c>
      <c r="F310" s="51">
        <f t="shared" si="216"/>
        <v>-237.15</v>
      </c>
      <c r="G310" s="51">
        <f t="shared" si="216"/>
        <v>-395.25</v>
      </c>
      <c r="H310" s="51">
        <f t="shared" si="216"/>
        <v>-395.25</v>
      </c>
      <c r="I310" s="51">
        <f t="shared" si="216"/>
        <v>-632.4</v>
      </c>
      <c r="J310" s="51">
        <f t="shared" si="216"/>
        <v>-553.35</v>
      </c>
      <c r="K310" s="51">
        <f t="shared" si="216"/>
        <v>-474.3</v>
      </c>
      <c r="L310" s="51">
        <f t="shared" si="216"/>
        <v>-395.25</v>
      </c>
      <c r="M310" s="51">
        <f t="shared" si="216"/>
        <v>-395.25</v>
      </c>
      <c r="N310" s="51">
        <f t="shared" si="216"/>
        <v>-474.3</v>
      </c>
      <c r="O310" s="51">
        <f t="shared" si="216"/>
        <v>-632.4</v>
      </c>
      <c r="P310" s="51">
        <f t="shared" si="216"/>
        <v>-790.5</v>
      </c>
      <c r="Q310" s="51">
        <f t="shared" si="216"/>
        <v>-948.6</v>
      </c>
      <c r="R310" s="51">
        <f t="shared" si="216"/>
        <v>-1264.8</v>
      </c>
      <c r="S310" s="51">
        <f t="shared" si="216"/>
        <v>-1185.75</v>
      </c>
      <c r="T310" s="51">
        <f t="shared" si="216"/>
        <v>-1422.9</v>
      </c>
      <c r="U310" s="51">
        <f t="shared" si="216"/>
        <v>-1581</v>
      </c>
      <c r="V310" s="51">
        <f t="shared" si="216"/>
        <v>-1264.8</v>
      </c>
      <c r="W310" s="51">
        <f t="shared" si="216"/>
        <v>-1106.7</v>
      </c>
      <c r="X310" s="51">
        <f t="shared" si="216"/>
        <v>-869.55000000000007</v>
      </c>
      <c r="Y310" s="51">
        <f t="shared" si="216"/>
        <v>-869.55000000000007</v>
      </c>
      <c r="Z310" s="51">
        <f t="shared" si="216"/>
        <v>-948.6</v>
      </c>
      <c r="AA310" s="51">
        <f t="shared" si="216"/>
        <v>-1581</v>
      </c>
      <c r="AB310" s="51">
        <f t="shared" si="216"/>
        <v>-1739.1000000000001</v>
      </c>
      <c r="AC310" s="51">
        <f t="shared" si="216"/>
        <v>-1976.25</v>
      </c>
      <c r="AD310" s="51">
        <f t="shared" si="216"/>
        <v>-2371.5</v>
      </c>
      <c r="AE310" s="10"/>
      <c r="AF310" s="10"/>
      <c r="AG310" s="10"/>
      <c r="AH310" s="10"/>
      <c r="AI310" s="10"/>
      <c r="AJ310" s="10"/>
      <c r="AK310" s="10"/>
      <c r="AL310" s="10"/>
      <c r="AM310" s="10"/>
    </row>
    <row r="311" spans="1:39" ht="15.75" hidden="1" customHeight="1" outlineLevel="1" x14ac:dyDescent="0.2">
      <c r="A311" s="16"/>
      <c r="B311" s="46" t="s">
        <v>54</v>
      </c>
      <c r="C311" s="50">
        <v>60</v>
      </c>
      <c r="D311" s="51">
        <f t="shared" ref="D311:AD311" si="217">-$C311*D189</f>
        <v>-180</v>
      </c>
      <c r="E311" s="51">
        <f t="shared" si="217"/>
        <v>-360</v>
      </c>
      <c r="F311" s="51">
        <f t="shared" si="217"/>
        <v>-540</v>
      </c>
      <c r="G311" s="51">
        <f t="shared" si="217"/>
        <v>-900</v>
      </c>
      <c r="H311" s="51">
        <f t="shared" si="217"/>
        <v>-900</v>
      </c>
      <c r="I311" s="51">
        <f t="shared" si="217"/>
        <v>-1440</v>
      </c>
      <c r="J311" s="51">
        <f t="shared" si="217"/>
        <v>-1260</v>
      </c>
      <c r="K311" s="51">
        <f t="shared" si="217"/>
        <v>-1080</v>
      </c>
      <c r="L311" s="51">
        <f t="shared" si="217"/>
        <v>-900</v>
      </c>
      <c r="M311" s="51">
        <f t="shared" si="217"/>
        <v>-900</v>
      </c>
      <c r="N311" s="51">
        <f t="shared" si="217"/>
        <v>-1080</v>
      </c>
      <c r="O311" s="51">
        <f t="shared" si="217"/>
        <v>-1440</v>
      </c>
      <c r="P311" s="51">
        <f t="shared" si="217"/>
        <v>-1800</v>
      </c>
      <c r="Q311" s="51">
        <f t="shared" si="217"/>
        <v>-2160</v>
      </c>
      <c r="R311" s="51">
        <f t="shared" si="217"/>
        <v>-2880</v>
      </c>
      <c r="S311" s="51">
        <f t="shared" si="217"/>
        <v>-2700</v>
      </c>
      <c r="T311" s="51">
        <f t="shared" si="217"/>
        <v>-3240</v>
      </c>
      <c r="U311" s="51">
        <f t="shared" si="217"/>
        <v>-3600</v>
      </c>
      <c r="V311" s="51">
        <f t="shared" si="217"/>
        <v>-2880</v>
      </c>
      <c r="W311" s="51">
        <f t="shared" si="217"/>
        <v>-2520</v>
      </c>
      <c r="X311" s="51">
        <f t="shared" si="217"/>
        <v>-1980</v>
      </c>
      <c r="Y311" s="51">
        <f t="shared" si="217"/>
        <v>-1980</v>
      </c>
      <c r="Z311" s="51">
        <f t="shared" si="217"/>
        <v>-2160</v>
      </c>
      <c r="AA311" s="51">
        <f t="shared" si="217"/>
        <v>-3600</v>
      </c>
      <c r="AB311" s="51">
        <f t="shared" si="217"/>
        <v>-3960</v>
      </c>
      <c r="AC311" s="51">
        <f t="shared" si="217"/>
        <v>-4500</v>
      </c>
      <c r="AD311" s="51">
        <f t="shared" si="217"/>
        <v>-5400</v>
      </c>
      <c r="AE311" s="10"/>
      <c r="AF311" s="10"/>
      <c r="AG311" s="10"/>
      <c r="AH311" s="10"/>
      <c r="AI311" s="10"/>
      <c r="AJ311" s="10"/>
      <c r="AK311" s="10"/>
      <c r="AL311" s="10"/>
      <c r="AM311" s="10"/>
    </row>
    <row r="312" spans="1:39" ht="15.75" customHeight="1" collapsed="1" x14ac:dyDescent="0.2">
      <c r="A312" s="84"/>
      <c r="B312" s="78" t="s">
        <v>45</v>
      </c>
      <c r="C312" s="85"/>
      <c r="D312" s="86">
        <f t="shared" ref="D312:AD312" si="218">SUM(D313:D317)</f>
        <v>-1939.2</v>
      </c>
      <c r="E312" s="86">
        <f t="shared" si="218"/>
        <v>-3878.4</v>
      </c>
      <c r="F312" s="86">
        <f t="shared" si="218"/>
        <v>-5817.6</v>
      </c>
      <c r="G312" s="86">
        <f t="shared" si="218"/>
        <v>-9696</v>
      </c>
      <c r="H312" s="86">
        <f t="shared" si="218"/>
        <v>-9696</v>
      </c>
      <c r="I312" s="86">
        <f t="shared" si="218"/>
        <v>-15513.6</v>
      </c>
      <c r="J312" s="86">
        <f t="shared" si="218"/>
        <v>-13574.4</v>
      </c>
      <c r="K312" s="86">
        <f t="shared" si="218"/>
        <v>-11635.2</v>
      </c>
      <c r="L312" s="86">
        <f t="shared" si="218"/>
        <v>-9696</v>
      </c>
      <c r="M312" s="86">
        <f t="shared" si="218"/>
        <v>-9696</v>
      </c>
      <c r="N312" s="86">
        <f t="shared" si="218"/>
        <v>-11635.2</v>
      </c>
      <c r="O312" s="86">
        <f t="shared" si="218"/>
        <v>-15513.6</v>
      </c>
      <c r="P312" s="86">
        <f t="shared" si="218"/>
        <v>-19392</v>
      </c>
      <c r="Q312" s="86">
        <f t="shared" si="218"/>
        <v>-23270.400000000001</v>
      </c>
      <c r="R312" s="86">
        <f t="shared" si="218"/>
        <v>-31027.200000000001</v>
      </c>
      <c r="S312" s="86">
        <f t="shared" si="218"/>
        <v>-29088</v>
      </c>
      <c r="T312" s="86">
        <f t="shared" si="218"/>
        <v>-34905.599999999999</v>
      </c>
      <c r="U312" s="86">
        <f t="shared" si="218"/>
        <v>-38784</v>
      </c>
      <c r="V312" s="86">
        <f t="shared" si="218"/>
        <v>-31027.200000000001</v>
      </c>
      <c r="W312" s="86">
        <f t="shared" si="218"/>
        <v>-27148.799999999999</v>
      </c>
      <c r="X312" s="86">
        <f t="shared" si="218"/>
        <v>-21331.200000000001</v>
      </c>
      <c r="Y312" s="86">
        <f t="shared" si="218"/>
        <v>-21331.200000000001</v>
      </c>
      <c r="Z312" s="86">
        <f t="shared" si="218"/>
        <v>-23270.400000000001</v>
      </c>
      <c r="AA312" s="86">
        <f t="shared" si="218"/>
        <v>-38784</v>
      </c>
      <c r="AB312" s="86">
        <f t="shared" si="218"/>
        <v>-42662.400000000001</v>
      </c>
      <c r="AC312" s="86">
        <f t="shared" si="218"/>
        <v>-48480</v>
      </c>
      <c r="AD312" s="86">
        <f t="shared" si="218"/>
        <v>-58176</v>
      </c>
      <c r="AE312" s="87"/>
      <c r="AF312" s="87"/>
      <c r="AG312" s="87"/>
      <c r="AH312" s="87"/>
      <c r="AI312" s="87"/>
      <c r="AJ312" s="87"/>
      <c r="AK312" s="87"/>
      <c r="AL312" s="87"/>
      <c r="AM312" s="87"/>
    </row>
    <row r="313" spans="1:39" ht="15.75" hidden="1" customHeight="1" outlineLevel="1" x14ac:dyDescent="0.2">
      <c r="A313" s="16"/>
      <c r="B313" s="46" t="s">
        <v>56</v>
      </c>
      <c r="C313" s="55">
        <v>0.1</v>
      </c>
      <c r="D313" s="51">
        <f t="shared" ref="D313:AD313" si="219">-$C313*D191</f>
        <v>-612</v>
      </c>
      <c r="E313" s="51">
        <f t="shared" si="219"/>
        <v>-1224</v>
      </c>
      <c r="F313" s="51">
        <f t="shared" si="219"/>
        <v>-1836</v>
      </c>
      <c r="G313" s="51">
        <f t="shared" si="219"/>
        <v>-3060</v>
      </c>
      <c r="H313" s="51">
        <f t="shared" si="219"/>
        <v>-3060</v>
      </c>
      <c r="I313" s="51">
        <f t="shared" si="219"/>
        <v>-4896</v>
      </c>
      <c r="J313" s="51">
        <f t="shared" si="219"/>
        <v>-4284</v>
      </c>
      <c r="K313" s="51">
        <f t="shared" si="219"/>
        <v>-3672</v>
      </c>
      <c r="L313" s="51">
        <f t="shared" si="219"/>
        <v>-3060</v>
      </c>
      <c r="M313" s="51">
        <f t="shared" si="219"/>
        <v>-3060</v>
      </c>
      <c r="N313" s="51">
        <f t="shared" si="219"/>
        <v>-3672</v>
      </c>
      <c r="O313" s="51">
        <f t="shared" si="219"/>
        <v>-4896</v>
      </c>
      <c r="P313" s="51">
        <f t="shared" si="219"/>
        <v>-6120</v>
      </c>
      <c r="Q313" s="51">
        <f t="shared" si="219"/>
        <v>-7344</v>
      </c>
      <c r="R313" s="51">
        <f t="shared" si="219"/>
        <v>-9792</v>
      </c>
      <c r="S313" s="51">
        <f t="shared" si="219"/>
        <v>-9180</v>
      </c>
      <c r="T313" s="51">
        <f t="shared" si="219"/>
        <v>-11016</v>
      </c>
      <c r="U313" s="51">
        <f t="shared" si="219"/>
        <v>-12240</v>
      </c>
      <c r="V313" s="51">
        <f t="shared" si="219"/>
        <v>-9792</v>
      </c>
      <c r="W313" s="51">
        <f t="shared" si="219"/>
        <v>-8568</v>
      </c>
      <c r="X313" s="51">
        <f t="shared" si="219"/>
        <v>-6732</v>
      </c>
      <c r="Y313" s="51">
        <f t="shared" si="219"/>
        <v>-6732</v>
      </c>
      <c r="Z313" s="51">
        <f t="shared" si="219"/>
        <v>-7344</v>
      </c>
      <c r="AA313" s="51">
        <f t="shared" si="219"/>
        <v>-12240</v>
      </c>
      <c r="AB313" s="51">
        <f t="shared" si="219"/>
        <v>-13464</v>
      </c>
      <c r="AC313" s="51">
        <f t="shared" si="219"/>
        <v>-15300</v>
      </c>
      <c r="AD313" s="51">
        <f t="shared" si="219"/>
        <v>-18360</v>
      </c>
      <c r="AE313" s="10"/>
      <c r="AF313" s="10"/>
      <c r="AG313" s="10"/>
      <c r="AH313" s="10"/>
      <c r="AI313" s="10"/>
      <c r="AJ313" s="10"/>
      <c r="AK313" s="10"/>
      <c r="AL313" s="10"/>
      <c r="AM313" s="10"/>
    </row>
    <row r="314" spans="1:39" ht="15.75" hidden="1" customHeight="1" outlineLevel="1" x14ac:dyDescent="0.2">
      <c r="A314" s="16"/>
      <c r="B314" s="81" t="s">
        <v>51</v>
      </c>
      <c r="C314" s="50">
        <v>240</v>
      </c>
      <c r="D314" s="51">
        <f t="shared" ref="D314:AD314" si="220">-$C314*D199</f>
        <v>-720</v>
      </c>
      <c r="E314" s="51">
        <f t="shared" si="220"/>
        <v>-1440</v>
      </c>
      <c r="F314" s="51">
        <f t="shared" si="220"/>
        <v>-2160</v>
      </c>
      <c r="G314" s="51">
        <f t="shared" si="220"/>
        <v>-3600</v>
      </c>
      <c r="H314" s="51">
        <f t="shared" si="220"/>
        <v>-3600</v>
      </c>
      <c r="I314" s="51">
        <f t="shared" si="220"/>
        <v>-5760</v>
      </c>
      <c r="J314" s="51">
        <f t="shared" si="220"/>
        <v>-5040</v>
      </c>
      <c r="K314" s="51">
        <f t="shared" si="220"/>
        <v>-4320</v>
      </c>
      <c r="L314" s="51">
        <f t="shared" si="220"/>
        <v>-3600</v>
      </c>
      <c r="M314" s="51">
        <f t="shared" si="220"/>
        <v>-3600</v>
      </c>
      <c r="N314" s="51">
        <f t="shared" si="220"/>
        <v>-4320</v>
      </c>
      <c r="O314" s="51">
        <f t="shared" si="220"/>
        <v>-5760</v>
      </c>
      <c r="P314" s="51">
        <f t="shared" si="220"/>
        <v>-7200</v>
      </c>
      <c r="Q314" s="51">
        <f t="shared" si="220"/>
        <v>-8640</v>
      </c>
      <c r="R314" s="51">
        <f t="shared" si="220"/>
        <v>-11520</v>
      </c>
      <c r="S314" s="51">
        <f t="shared" si="220"/>
        <v>-10800</v>
      </c>
      <c r="T314" s="51">
        <f t="shared" si="220"/>
        <v>-12960</v>
      </c>
      <c r="U314" s="51">
        <f t="shared" si="220"/>
        <v>-14400</v>
      </c>
      <c r="V314" s="51">
        <f t="shared" si="220"/>
        <v>-11520</v>
      </c>
      <c r="W314" s="51">
        <f t="shared" si="220"/>
        <v>-10080</v>
      </c>
      <c r="X314" s="51">
        <f t="shared" si="220"/>
        <v>-7920</v>
      </c>
      <c r="Y314" s="51">
        <f t="shared" si="220"/>
        <v>-7920</v>
      </c>
      <c r="Z314" s="51">
        <f t="shared" si="220"/>
        <v>-8640</v>
      </c>
      <c r="AA314" s="51">
        <f t="shared" si="220"/>
        <v>-14400</v>
      </c>
      <c r="AB314" s="51">
        <f t="shared" si="220"/>
        <v>-15840</v>
      </c>
      <c r="AC314" s="51">
        <f t="shared" si="220"/>
        <v>-18000</v>
      </c>
      <c r="AD314" s="51">
        <f t="shared" si="220"/>
        <v>-21600</v>
      </c>
      <c r="AE314" s="10"/>
      <c r="AF314" s="10"/>
      <c r="AG314" s="10"/>
      <c r="AH314" s="10"/>
      <c r="AI314" s="10"/>
      <c r="AJ314" s="10"/>
      <c r="AK314" s="10"/>
      <c r="AL314" s="10"/>
      <c r="AM314" s="10"/>
    </row>
    <row r="315" spans="1:39" ht="15.75" hidden="1" customHeight="1" outlineLevel="1" x14ac:dyDescent="0.2">
      <c r="A315" s="16"/>
      <c r="B315" s="46" t="s">
        <v>52</v>
      </c>
      <c r="C315" s="55">
        <v>0.05</v>
      </c>
      <c r="D315" s="51">
        <f t="shared" ref="D315:AD315" si="221">-$C315*D191</f>
        <v>-306</v>
      </c>
      <c r="E315" s="51">
        <f t="shared" si="221"/>
        <v>-612</v>
      </c>
      <c r="F315" s="51">
        <f t="shared" si="221"/>
        <v>-918</v>
      </c>
      <c r="G315" s="51">
        <f t="shared" si="221"/>
        <v>-1530</v>
      </c>
      <c r="H315" s="51">
        <f t="shared" si="221"/>
        <v>-1530</v>
      </c>
      <c r="I315" s="51">
        <f t="shared" si="221"/>
        <v>-2448</v>
      </c>
      <c r="J315" s="51">
        <f t="shared" si="221"/>
        <v>-2142</v>
      </c>
      <c r="K315" s="51">
        <f t="shared" si="221"/>
        <v>-1836</v>
      </c>
      <c r="L315" s="51">
        <f t="shared" si="221"/>
        <v>-1530</v>
      </c>
      <c r="M315" s="51">
        <f t="shared" si="221"/>
        <v>-1530</v>
      </c>
      <c r="N315" s="51">
        <f t="shared" si="221"/>
        <v>-1836</v>
      </c>
      <c r="O315" s="51">
        <f t="shared" si="221"/>
        <v>-2448</v>
      </c>
      <c r="P315" s="51">
        <f t="shared" si="221"/>
        <v>-3060</v>
      </c>
      <c r="Q315" s="51">
        <f t="shared" si="221"/>
        <v>-3672</v>
      </c>
      <c r="R315" s="51">
        <f t="shared" si="221"/>
        <v>-4896</v>
      </c>
      <c r="S315" s="51">
        <f t="shared" si="221"/>
        <v>-4590</v>
      </c>
      <c r="T315" s="51">
        <f t="shared" si="221"/>
        <v>-5508</v>
      </c>
      <c r="U315" s="51">
        <f t="shared" si="221"/>
        <v>-6120</v>
      </c>
      <c r="V315" s="51">
        <f t="shared" si="221"/>
        <v>-4896</v>
      </c>
      <c r="W315" s="51">
        <f t="shared" si="221"/>
        <v>-4284</v>
      </c>
      <c r="X315" s="51">
        <f t="shared" si="221"/>
        <v>-3366</v>
      </c>
      <c r="Y315" s="51">
        <f t="shared" si="221"/>
        <v>-3366</v>
      </c>
      <c r="Z315" s="51">
        <f t="shared" si="221"/>
        <v>-3672</v>
      </c>
      <c r="AA315" s="51">
        <f t="shared" si="221"/>
        <v>-6120</v>
      </c>
      <c r="AB315" s="51">
        <f t="shared" si="221"/>
        <v>-6732</v>
      </c>
      <c r="AC315" s="51">
        <f t="shared" si="221"/>
        <v>-7650</v>
      </c>
      <c r="AD315" s="51">
        <f t="shared" si="221"/>
        <v>-9180</v>
      </c>
      <c r="AE315" s="10"/>
      <c r="AF315" s="10"/>
      <c r="AG315" s="10"/>
      <c r="AH315" s="10"/>
      <c r="AI315" s="10"/>
      <c r="AJ315" s="10"/>
      <c r="AK315" s="10"/>
      <c r="AL315" s="10"/>
      <c r="AM315" s="10"/>
    </row>
    <row r="316" spans="1:39" ht="15.75" hidden="1" customHeight="1" outlineLevel="1" x14ac:dyDescent="0.2">
      <c r="A316" s="16"/>
      <c r="B316" s="83" t="s">
        <v>57</v>
      </c>
      <c r="C316" s="55">
        <v>0.01</v>
      </c>
      <c r="D316" s="51">
        <f t="shared" ref="D316:AD316" si="222">-$C316*D191</f>
        <v>-61.2</v>
      </c>
      <c r="E316" s="51">
        <f t="shared" si="222"/>
        <v>-122.4</v>
      </c>
      <c r="F316" s="51">
        <f t="shared" si="222"/>
        <v>-183.6</v>
      </c>
      <c r="G316" s="51">
        <f t="shared" si="222"/>
        <v>-306</v>
      </c>
      <c r="H316" s="51">
        <f t="shared" si="222"/>
        <v>-306</v>
      </c>
      <c r="I316" s="51">
        <f t="shared" si="222"/>
        <v>-489.6</v>
      </c>
      <c r="J316" s="51">
        <f t="shared" si="222"/>
        <v>-428.40000000000003</v>
      </c>
      <c r="K316" s="51">
        <f t="shared" si="222"/>
        <v>-367.2</v>
      </c>
      <c r="L316" s="51">
        <f t="shared" si="222"/>
        <v>-306</v>
      </c>
      <c r="M316" s="51">
        <f t="shared" si="222"/>
        <v>-306</v>
      </c>
      <c r="N316" s="51">
        <f t="shared" si="222"/>
        <v>-367.2</v>
      </c>
      <c r="O316" s="51">
        <f t="shared" si="222"/>
        <v>-489.6</v>
      </c>
      <c r="P316" s="51">
        <f t="shared" si="222"/>
        <v>-612</v>
      </c>
      <c r="Q316" s="51">
        <f t="shared" si="222"/>
        <v>-734.4</v>
      </c>
      <c r="R316" s="51">
        <f t="shared" si="222"/>
        <v>-979.2</v>
      </c>
      <c r="S316" s="51">
        <f t="shared" si="222"/>
        <v>-918</v>
      </c>
      <c r="T316" s="51">
        <f t="shared" si="222"/>
        <v>-1101.6000000000001</v>
      </c>
      <c r="U316" s="51">
        <f t="shared" si="222"/>
        <v>-1224</v>
      </c>
      <c r="V316" s="51">
        <f t="shared" si="222"/>
        <v>-979.2</v>
      </c>
      <c r="W316" s="51">
        <f t="shared" si="222"/>
        <v>-856.80000000000007</v>
      </c>
      <c r="X316" s="51">
        <f t="shared" si="222"/>
        <v>-673.2</v>
      </c>
      <c r="Y316" s="51">
        <f t="shared" si="222"/>
        <v>-673.2</v>
      </c>
      <c r="Z316" s="51">
        <f t="shared" si="222"/>
        <v>-734.4</v>
      </c>
      <c r="AA316" s="51">
        <f t="shared" si="222"/>
        <v>-1224</v>
      </c>
      <c r="AB316" s="51">
        <f t="shared" si="222"/>
        <v>-1346.4</v>
      </c>
      <c r="AC316" s="51">
        <f t="shared" si="222"/>
        <v>-1530</v>
      </c>
      <c r="AD316" s="51">
        <f t="shared" si="222"/>
        <v>-1836</v>
      </c>
      <c r="AE316" s="10"/>
      <c r="AF316" s="10"/>
      <c r="AG316" s="10"/>
      <c r="AH316" s="10"/>
      <c r="AI316" s="10"/>
      <c r="AJ316" s="10"/>
      <c r="AK316" s="10"/>
      <c r="AL316" s="10"/>
      <c r="AM316" s="10"/>
    </row>
    <row r="317" spans="1:39" ht="15.75" hidden="1" customHeight="1" outlineLevel="1" x14ac:dyDescent="0.2">
      <c r="A317" s="16"/>
      <c r="B317" s="46" t="s">
        <v>54</v>
      </c>
      <c r="C317" s="50">
        <v>80</v>
      </c>
      <c r="D317" s="51">
        <f t="shared" ref="D317:AD317" si="223">-$C317*D199</f>
        <v>-240</v>
      </c>
      <c r="E317" s="51">
        <f t="shared" si="223"/>
        <v>-480</v>
      </c>
      <c r="F317" s="51">
        <f t="shared" si="223"/>
        <v>-720</v>
      </c>
      <c r="G317" s="51">
        <f t="shared" si="223"/>
        <v>-1200</v>
      </c>
      <c r="H317" s="51">
        <f t="shared" si="223"/>
        <v>-1200</v>
      </c>
      <c r="I317" s="51">
        <f t="shared" si="223"/>
        <v>-1920</v>
      </c>
      <c r="J317" s="51">
        <f t="shared" si="223"/>
        <v>-1680</v>
      </c>
      <c r="K317" s="51">
        <f t="shared" si="223"/>
        <v>-1440</v>
      </c>
      <c r="L317" s="51">
        <f t="shared" si="223"/>
        <v>-1200</v>
      </c>
      <c r="M317" s="51">
        <f t="shared" si="223"/>
        <v>-1200</v>
      </c>
      <c r="N317" s="51">
        <f t="shared" si="223"/>
        <v>-1440</v>
      </c>
      <c r="O317" s="51">
        <f t="shared" si="223"/>
        <v>-1920</v>
      </c>
      <c r="P317" s="51">
        <f t="shared" si="223"/>
        <v>-2400</v>
      </c>
      <c r="Q317" s="51">
        <f t="shared" si="223"/>
        <v>-2880</v>
      </c>
      <c r="R317" s="51">
        <f t="shared" si="223"/>
        <v>-3840</v>
      </c>
      <c r="S317" s="51">
        <f t="shared" si="223"/>
        <v>-3600</v>
      </c>
      <c r="T317" s="51">
        <f t="shared" si="223"/>
        <v>-4320</v>
      </c>
      <c r="U317" s="51">
        <f t="shared" si="223"/>
        <v>-4800</v>
      </c>
      <c r="V317" s="51">
        <f t="shared" si="223"/>
        <v>-3840</v>
      </c>
      <c r="W317" s="51">
        <f t="shared" si="223"/>
        <v>-3360</v>
      </c>
      <c r="X317" s="51">
        <f t="shared" si="223"/>
        <v>-2640</v>
      </c>
      <c r="Y317" s="51">
        <f t="shared" si="223"/>
        <v>-2640</v>
      </c>
      <c r="Z317" s="51">
        <f t="shared" si="223"/>
        <v>-2880</v>
      </c>
      <c r="AA317" s="51">
        <f t="shared" si="223"/>
        <v>-4800</v>
      </c>
      <c r="AB317" s="51">
        <f t="shared" si="223"/>
        <v>-5280</v>
      </c>
      <c r="AC317" s="51">
        <f t="shared" si="223"/>
        <v>-6000</v>
      </c>
      <c r="AD317" s="51">
        <f t="shared" si="223"/>
        <v>-7200</v>
      </c>
      <c r="AE317" s="10"/>
      <c r="AF317" s="10"/>
      <c r="AG317" s="10"/>
      <c r="AH317" s="10"/>
      <c r="AI317" s="10"/>
      <c r="AJ317" s="10"/>
      <c r="AK317" s="10"/>
      <c r="AL317" s="10"/>
      <c r="AM317" s="10"/>
    </row>
    <row r="318" spans="1:39" ht="15.75" customHeight="1" collapsed="1" x14ac:dyDescent="0.25">
      <c r="A318" s="84"/>
      <c r="B318" s="541" t="s">
        <v>440</v>
      </c>
      <c r="C318" s="85"/>
      <c r="D318" s="86">
        <f t="shared" ref="D318:AD318" si="224">SUM(D319:D323)</f>
        <v>-3996</v>
      </c>
      <c r="E318" s="86">
        <f t="shared" si="224"/>
        <v>-7992</v>
      </c>
      <c r="F318" s="86">
        <f t="shared" si="224"/>
        <v>-11988</v>
      </c>
      <c r="G318" s="86">
        <f t="shared" si="224"/>
        <v>-19980</v>
      </c>
      <c r="H318" s="86">
        <f t="shared" si="224"/>
        <v>-19980</v>
      </c>
      <c r="I318" s="86">
        <f t="shared" si="224"/>
        <v>-31968</v>
      </c>
      <c r="J318" s="86">
        <f t="shared" si="224"/>
        <v>-27972</v>
      </c>
      <c r="K318" s="86">
        <f t="shared" si="224"/>
        <v>-23976</v>
      </c>
      <c r="L318" s="86">
        <f t="shared" si="224"/>
        <v>-19980</v>
      </c>
      <c r="M318" s="86">
        <f t="shared" si="224"/>
        <v>-19980</v>
      </c>
      <c r="N318" s="86">
        <f t="shared" si="224"/>
        <v>-23976</v>
      </c>
      <c r="O318" s="86">
        <f t="shared" si="224"/>
        <v>-31968</v>
      </c>
      <c r="P318" s="86">
        <f t="shared" si="224"/>
        <v>-39960</v>
      </c>
      <c r="Q318" s="86">
        <f t="shared" si="224"/>
        <v>-47952</v>
      </c>
      <c r="R318" s="86">
        <f t="shared" si="224"/>
        <v>-63936</v>
      </c>
      <c r="S318" s="86">
        <f t="shared" si="224"/>
        <v>-59940</v>
      </c>
      <c r="T318" s="86">
        <f t="shared" si="224"/>
        <v>-71928</v>
      </c>
      <c r="U318" s="86">
        <f t="shared" si="224"/>
        <v>-79920</v>
      </c>
      <c r="V318" s="86">
        <f t="shared" si="224"/>
        <v>-63936</v>
      </c>
      <c r="W318" s="86">
        <f t="shared" si="224"/>
        <v>-55944</v>
      </c>
      <c r="X318" s="86">
        <f t="shared" si="224"/>
        <v>-43956</v>
      </c>
      <c r="Y318" s="86">
        <f t="shared" si="224"/>
        <v>-43956</v>
      </c>
      <c r="Z318" s="86">
        <f t="shared" si="224"/>
        <v>-47952</v>
      </c>
      <c r="AA318" s="86">
        <f t="shared" si="224"/>
        <v>-79920</v>
      </c>
      <c r="AB318" s="86">
        <f t="shared" si="224"/>
        <v>-87912</v>
      </c>
      <c r="AC318" s="86">
        <f t="shared" si="224"/>
        <v>-99900</v>
      </c>
      <c r="AD318" s="86">
        <f t="shared" si="224"/>
        <v>-119880</v>
      </c>
      <c r="AE318" s="87"/>
      <c r="AF318" s="87"/>
      <c r="AG318" s="87"/>
      <c r="AH318" s="87"/>
      <c r="AI318" s="87"/>
      <c r="AJ318" s="87"/>
      <c r="AK318" s="87"/>
      <c r="AL318" s="87"/>
      <c r="AM318" s="87"/>
    </row>
    <row r="319" spans="1:39" ht="15.75" hidden="1" customHeight="1" outlineLevel="1" x14ac:dyDescent="0.2">
      <c r="A319" s="16"/>
      <c r="B319" s="46" t="s">
        <v>56</v>
      </c>
      <c r="C319" s="55">
        <v>0.1</v>
      </c>
      <c r="D319" s="51">
        <f t="shared" ref="D319:AD319" si="225">-$C319*D201</f>
        <v>-1260</v>
      </c>
      <c r="E319" s="51">
        <f t="shared" si="225"/>
        <v>-2520</v>
      </c>
      <c r="F319" s="51">
        <f t="shared" si="225"/>
        <v>-3780</v>
      </c>
      <c r="G319" s="51">
        <f t="shared" si="225"/>
        <v>-6300</v>
      </c>
      <c r="H319" s="51">
        <f t="shared" si="225"/>
        <v>-6300</v>
      </c>
      <c r="I319" s="51">
        <f t="shared" si="225"/>
        <v>-10080</v>
      </c>
      <c r="J319" s="51">
        <f t="shared" si="225"/>
        <v>-8820</v>
      </c>
      <c r="K319" s="51">
        <f t="shared" si="225"/>
        <v>-7560</v>
      </c>
      <c r="L319" s="51">
        <f t="shared" si="225"/>
        <v>-6300</v>
      </c>
      <c r="M319" s="51">
        <f t="shared" si="225"/>
        <v>-6300</v>
      </c>
      <c r="N319" s="51">
        <f t="shared" si="225"/>
        <v>-7560</v>
      </c>
      <c r="O319" s="51">
        <f t="shared" si="225"/>
        <v>-10080</v>
      </c>
      <c r="P319" s="51">
        <f t="shared" si="225"/>
        <v>-12600</v>
      </c>
      <c r="Q319" s="51">
        <f t="shared" si="225"/>
        <v>-15120</v>
      </c>
      <c r="R319" s="51">
        <f t="shared" si="225"/>
        <v>-20160</v>
      </c>
      <c r="S319" s="51">
        <f t="shared" si="225"/>
        <v>-18900</v>
      </c>
      <c r="T319" s="51">
        <f t="shared" si="225"/>
        <v>-22680</v>
      </c>
      <c r="U319" s="51">
        <f t="shared" si="225"/>
        <v>-25200</v>
      </c>
      <c r="V319" s="51">
        <f t="shared" si="225"/>
        <v>-20160</v>
      </c>
      <c r="W319" s="51">
        <f t="shared" si="225"/>
        <v>-17640</v>
      </c>
      <c r="X319" s="51">
        <f t="shared" si="225"/>
        <v>-13860</v>
      </c>
      <c r="Y319" s="51">
        <f t="shared" si="225"/>
        <v>-13860</v>
      </c>
      <c r="Z319" s="51">
        <f t="shared" si="225"/>
        <v>-15120</v>
      </c>
      <c r="AA319" s="51">
        <f t="shared" si="225"/>
        <v>-25200</v>
      </c>
      <c r="AB319" s="51">
        <f t="shared" si="225"/>
        <v>-27720</v>
      </c>
      <c r="AC319" s="51">
        <f t="shared" si="225"/>
        <v>-31500</v>
      </c>
      <c r="AD319" s="51">
        <f t="shared" si="225"/>
        <v>-37800</v>
      </c>
      <c r="AE319" s="10"/>
      <c r="AF319" s="10"/>
      <c r="AG319" s="10"/>
      <c r="AH319" s="10"/>
      <c r="AI319" s="10"/>
      <c r="AJ319" s="10"/>
      <c r="AK319" s="10"/>
      <c r="AL319" s="10"/>
      <c r="AM319" s="10"/>
    </row>
    <row r="320" spans="1:39" ht="15.75" hidden="1" customHeight="1" outlineLevel="1" x14ac:dyDescent="0.2">
      <c r="A320" s="16"/>
      <c r="B320" s="81" t="s">
        <v>51</v>
      </c>
      <c r="C320" s="50">
        <v>600</v>
      </c>
      <c r="D320" s="51">
        <f t="shared" ref="D320:AD320" si="226">-$C320*D209</f>
        <v>-1800</v>
      </c>
      <c r="E320" s="51">
        <f t="shared" si="226"/>
        <v>-3600</v>
      </c>
      <c r="F320" s="51">
        <f t="shared" si="226"/>
        <v>-5400</v>
      </c>
      <c r="G320" s="51">
        <f t="shared" si="226"/>
        <v>-9000</v>
      </c>
      <c r="H320" s="51">
        <f t="shared" si="226"/>
        <v>-9000</v>
      </c>
      <c r="I320" s="51">
        <f t="shared" si="226"/>
        <v>-14400</v>
      </c>
      <c r="J320" s="51">
        <f t="shared" si="226"/>
        <v>-12600</v>
      </c>
      <c r="K320" s="51">
        <f t="shared" si="226"/>
        <v>-10800</v>
      </c>
      <c r="L320" s="51">
        <f t="shared" si="226"/>
        <v>-9000</v>
      </c>
      <c r="M320" s="51">
        <f t="shared" si="226"/>
        <v>-9000</v>
      </c>
      <c r="N320" s="51">
        <f t="shared" si="226"/>
        <v>-10800</v>
      </c>
      <c r="O320" s="51">
        <f t="shared" si="226"/>
        <v>-14400</v>
      </c>
      <c r="P320" s="51">
        <f t="shared" si="226"/>
        <v>-18000</v>
      </c>
      <c r="Q320" s="51">
        <f t="shared" si="226"/>
        <v>-21600</v>
      </c>
      <c r="R320" s="51">
        <f t="shared" si="226"/>
        <v>-28800</v>
      </c>
      <c r="S320" s="51">
        <f t="shared" si="226"/>
        <v>-27000</v>
      </c>
      <c r="T320" s="51">
        <f t="shared" si="226"/>
        <v>-32400</v>
      </c>
      <c r="U320" s="51">
        <f t="shared" si="226"/>
        <v>-36000</v>
      </c>
      <c r="V320" s="51">
        <f t="shared" si="226"/>
        <v>-28800</v>
      </c>
      <c r="W320" s="51">
        <f t="shared" si="226"/>
        <v>-25200</v>
      </c>
      <c r="X320" s="51">
        <f t="shared" si="226"/>
        <v>-19800</v>
      </c>
      <c r="Y320" s="51">
        <f t="shared" si="226"/>
        <v>-19800</v>
      </c>
      <c r="Z320" s="51">
        <f t="shared" si="226"/>
        <v>-21600</v>
      </c>
      <c r="AA320" s="51">
        <f t="shared" si="226"/>
        <v>-36000</v>
      </c>
      <c r="AB320" s="51">
        <f t="shared" si="226"/>
        <v>-39600</v>
      </c>
      <c r="AC320" s="51">
        <f t="shared" si="226"/>
        <v>-45000</v>
      </c>
      <c r="AD320" s="51">
        <f t="shared" si="226"/>
        <v>-54000</v>
      </c>
      <c r="AE320" s="10"/>
      <c r="AF320" s="10"/>
      <c r="AG320" s="10"/>
      <c r="AH320" s="10"/>
      <c r="AI320" s="10"/>
      <c r="AJ320" s="10"/>
      <c r="AK320" s="10"/>
      <c r="AL320" s="10"/>
      <c r="AM320" s="10"/>
    </row>
    <row r="321" spans="1:39" ht="15.75" hidden="1" customHeight="1" outlineLevel="1" x14ac:dyDescent="0.2">
      <c r="A321" s="16"/>
      <c r="B321" s="46" t="s">
        <v>52</v>
      </c>
      <c r="C321" s="55">
        <v>0.05</v>
      </c>
      <c r="D321" s="51">
        <f t="shared" ref="D321:AD321" si="227">-$C321*D201</f>
        <v>-630</v>
      </c>
      <c r="E321" s="51">
        <f t="shared" si="227"/>
        <v>-1260</v>
      </c>
      <c r="F321" s="51">
        <f t="shared" si="227"/>
        <v>-1890</v>
      </c>
      <c r="G321" s="51">
        <f t="shared" si="227"/>
        <v>-3150</v>
      </c>
      <c r="H321" s="51">
        <f t="shared" si="227"/>
        <v>-3150</v>
      </c>
      <c r="I321" s="51">
        <f t="shared" si="227"/>
        <v>-5040</v>
      </c>
      <c r="J321" s="51">
        <f t="shared" si="227"/>
        <v>-4410</v>
      </c>
      <c r="K321" s="51">
        <f t="shared" si="227"/>
        <v>-3780</v>
      </c>
      <c r="L321" s="51">
        <f t="shared" si="227"/>
        <v>-3150</v>
      </c>
      <c r="M321" s="51">
        <f t="shared" si="227"/>
        <v>-3150</v>
      </c>
      <c r="N321" s="51">
        <f t="shared" si="227"/>
        <v>-3780</v>
      </c>
      <c r="O321" s="51">
        <f t="shared" si="227"/>
        <v>-5040</v>
      </c>
      <c r="P321" s="51">
        <f t="shared" si="227"/>
        <v>-6300</v>
      </c>
      <c r="Q321" s="51">
        <f t="shared" si="227"/>
        <v>-7560</v>
      </c>
      <c r="R321" s="51">
        <f t="shared" si="227"/>
        <v>-10080</v>
      </c>
      <c r="S321" s="51">
        <f t="shared" si="227"/>
        <v>-9450</v>
      </c>
      <c r="T321" s="51">
        <f t="shared" si="227"/>
        <v>-11340</v>
      </c>
      <c r="U321" s="51">
        <f t="shared" si="227"/>
        <v>-12600</v>
      </c>
      <c r="V321" s="51">
        <f t="shared" si="227"/>
        <v>-10080</v>
      </c>
      <c r="W321" s="51">
        <f t="shared" si="227"/>
        <v>-8820</v>
      </c>
      <c r="X321" s="51">
        <f t="shared" si="227"/>
        <v>-6930</v>
      </c>
      <c r="Y321" s="51">
        <f t="shared" si="227"/>
        <v>-6930</v>
      </c>
      <c r="Z321" s="51">
        <f t="shared" si="227"/>
        <v>-7560</v>
      </c>
      <c r="AA321" s="51">
        <f t="shared" si="227"/>
        <v>-12600</v>
      </c>
      <c r="AB321" s="51">
        <f t="shared" si="227"/>
        <v>-13860</v>
      </c>
      <c r="AC321" s="51">
        <f t="shared" si="227"/>
        <v>-15750</v>
      </c>
      <c r="AD321" s="51">
        <f t="shared" si="227"/>
        <v>-18900</v>
      </c>
      <c r="AE321" s="10"/>
      <c r="AF321" s="10"/>
      <c r="AG321" s="10"/>
      <c r="AH321" s="10"/>
      <c r="AI321" s="10"/>
      <c r="AJ321" s="10"/>
      <c r="AK321" s="10"/>
      <c r="AL321" s="10"/>
      <c r="AM321" s="10"/>
    </row>
    <row r="322" spans="1:39" ht="15.75" hidden="1" customHeight="1" outlineLevel="1" x14ac:dyDescent="0.2">
      <c r="A322" s="16"/>
      <c r="B322" s="83" t="s">
        <v>57</v>
      </c>
      <c r="C322" s="55">
        <v>0.01</v>
      </c>
      <c r="D322" s="51">
        <f t="shared" ref="D322:AD322" si="228">-$C322*D201</f>
        <v>-126</v>
      </c>
      <c r="E322" s="51">
        <f t="shared" si="228"/>
        <v>-252</v>
      </c>
      <c r="F322" s="51">
        <f t="shared" si="228"/>
        <v>-378</v>
      </c>
      <c r="G322" s="51">
        <f t="shared" si="228"/>
        <v>-630</v>
      </c>
      <c r="H322" s="51">
        <f t="shared" si="228"/>
        <v>-630</v>
      </c>
      <c r="I322" s="51">
        <f t="shared" si="228"/>
        <v>-1008</v>
      </c>
      <c r="J322" s="51">
        <f t="shared" si="228"/>
        <v>-882</v>
      </c>
      <c r="K322" s="51">
        <f t="shared" si="228"/>
        <v>-756</v>
      </c>
      <c r="L322" s="51">
        <f t="shared" si="228"/>
        <v>-630</v>
      </c>
      <c r="M322" s="51">
        <f t="shared" si="228"/>
        <v>-630</v>
      </c>
      <c r="N322" s="51">
        <f t="shared" si="228"/>
        <v>-756</v>
      </c>
      <c r="O322" s="51">
        <f t="shared" si="228"/>
        <v>-1008</v>
      </c>
      <c r="P322" s="51">
        <f t="shared" si="228"/>
        <v>-1260</v>
      </c>
      <c r="Q322" s="51">
        <f t="shared" si="228"/>
        <v>-1512</v>
      </c>
      <c r="R322" s="51">
        <f t="shared" si="228"/>
        <v>-2016</v>
      </c>
      <c r="S322" s="51">
        <f t="shared" si="228"/>
        <v>-1890</v>
      </c>
      <c r="T322" s="51">
        <f t="shared" si="228"/>
        <v>-2268</v>
      </c>
      <c r="U322" s="51">
        <f t="shared" si="228"/>
        <v>-2520</v>
      </c>
      <c r="V322" s="51">
        <f t="shared" si="228"/>
        <v>-2016</v>
      </c>
      <c r="W322" s="51">
        <f t="shared" si="228"/>
        <v>-1764</v>
      </c>
      <c r="X322" s="51">
        <f t="shared" si="228"/>
        <v>-1386</v>
      </c>
      <c r="Y322" s="51">
        <f t="shared" si="228"/>
        <v>-1386</v>
      </c>
      <c r="Z322" s="51">
        <f t="shared" si="228"/>
        <v>-1512</v>
      </c>
      <c r="AA322" s="51">
        <f t="shared" si="228"/>
        <v>-2520</v>
      </c>
      <c r="AB322" s="51">
        <f t="shared" si="228"/>
        <v>-2772</v>
      </c>
      <c r="AC322" s="51">
        <f t="shared" si="228"/>
        <v>-3150</v>
      </c>
      <c r="AD322" s="51">
        <f t="shared" si="228"/>
        <v>-3780</v>
      </c>
      <c r="AE322" s="10"/>
      <c r="AF322" s="10"/>
      <c r="AG322" s="10"/>
      <c r="AH322" s="10"/>
      <c r="AI322" s="10"/>
      <c r="AJ322" s="10"/>
      <c r="AK322" s="10"/>
      <c r="AL322" s="10"/>
      <c r="AM322" s="10"/>
    </row>
    <row r="323" spans="1:39" ht="15.75" hidden="1" customHeight="1" outlineLevel="1" x14ac:dyDescent="0.2">
      <c r="A323" s="16"/>
      <c r="B323" s="46" t="s">
        <v>54</v>
      </c>
      <c r="C323" s="50">
        <v>60</v>
      </c>
      <c r="D323" s="51">
        <f t="shared" ref="D323:AD323" si="229">-$C323*D209</f>
        <v>-180</v>
      </c>
      <c r="E323" s="51">
        <f t="shared" si="229"/>
        <v>-360</v>
      </c>
      <c r="F323" s="51">
        <f t="shared" si="229"/>
        <v>-540</v>
      </c>
      <c r="G323" s="51">
        <f t="shared" si="229"/>
        <v>-900</v>
      </c>
      <c r="H323" s="51">
        <f t="shared" si="229"/>
        <v>-900</v>
      </c>
      <c r="I323" s="51">
        <f t="shared" si="229"/>
        <v>-1440</v>
      </c>
      <c r="J323" s="51">
        <f t="shared" si="229"/>
        <v>-1260</v>
      </c>
      <c r="K323" s="51">
        <f t="shared" si="229"/>
        <v>-1080</v>
      </c>
      <c r="L323" s="51">
        <f t="shared" si="229"/>
        <v>-900</v>
      </c>
      <c r="M323" s="51">
        <f t="shared" si="229"/>
        <v>-900</v>
      </c>
      <c r="N323" s="51">
        <f t="shared" si="229"/>
        <v>-1080</v>
      </c>
      <c r="O323" s="51">
        <f t="shared" si="229"/>
        <v>-1440</v>
      </c>
      <c r="P323" s="51">
        <f t="shared" si="229"/>
        <v>-1800</v>
      </c>
      <c r="Q323" s="51">
        <f t="shared" si="229"/>
        <v>-2160</v>
      </c>
      <c r="R323" s="51">
        <f t="shared" si="229"/>
        <v>-2880</v>
      </c>
      <c r="S323" s="51">
        <f t="shared" si="229"/>
        <v>-2700</v>
      </c>
      <c r="T323" s="51">
        <f t="shared" si="229"/>
        <v>-3240</v>
      </c>
      <c r="U323" s="51">
        <f t="shared" si="229"/>
        <v>-3600</v>
      </c>
      <c r="V323" s="51">
        <f t="shared" si="229"/>
        <v>-2880</v>
      </c>
      <c r="W323" s="51">
        <f t="shared" si="229"/>
        <v>-2520</v>
      </c>
      <c r="X323" s="51">
        <f t="shared" si="229"/>
        <v>-1980</v>
      </c>
      <c r="Y323" s="51">
        <f t="shared" si="229"/>
        <v>-1980</v>
      </c>
      <c r="Z323" s="51">
        <f t="shared" si="229"/>
        <v>-2160</v>
      </c>
      <c r="AA323" s="51">
        <f t="shared" si="229"/>
        <v>-3600</v>
      </c>
      <c r="AB323" s="51">
        <f t="shared" si="229"/>
        <v>-3960</v>
      </c>
      <c r="AC323" s="51">
        <f t="shared" si="229"/>
        <v>-4500</v>
      </c>
      <c r="AD323" s="51">
        <f t="shared" si="229"/>
        <v>-5400</v>
      </c>
      <c r="AE323" s="10"/>
      <c r="AF323" s="10"/>
      <c r="AG323" s="10"/>
      <c r="AH323" s="10"/>
      <c r="AI323" s="10"/>
      <c r="AJ323" s="10"/>
      <c r="AK323" s="10"/>
      <c r="AL323" s="10"/>
      <c r="AM323" s="10"/>
    </row>
    <row r="324" spans="1:39" ht="18.75" customHeight="1" x14ac:dyDescent="0.2">
      <c r="A324" s="48"/>
      <c r="B324" s="92"/>
      <c r="C324" s="92"/>
      <c r="D324" s="93"/>
      <c r="E324" s="93"/>
      <c r="F324" s="93"/>
      <c r="G324" s="93"/>
      <c r="H324" s="93"/>
      <c r="I324" s="93"/>
      <c r="J324" s="93"/>
      <c r="K324" s="93"/>
      <c r="L324" s="93"/>
      <c r="M324" s="93"/>
      <c r="N324" s="93"/>
      <c r="O324" s="93"/>
      <c r="P324" s="93"/>
      <c r="Q324" s="93"/>
      <c r="R324" s="93"/>
      <c r="S324" s="93"/>
      <c r="T324" s="93"/>
      <c r="U324" s="93"/>
      <c r="V324" s="93"/>
      <c r="W324" s="93"/>
      <c r="X324" s="93"/>
      <c r="Y324" s="93"/>
      <c r="Z324" s="93"/>
      <c r="AA324" s="93"/>
      <c r="AB324" s="93"/>
      <c r="AC324" s="93"/>
      <c r="AD324" s="93"/>
      <c r="AE324" s="10"/>
      <c r="AF324" s="10"/>
      <c r="AG324" s="10"/>
      <c r="AH324" s="10"/>
      <c r="AI324" s="10"/>
      <c r="AJ324" s="10"/>
      <c r="AK324" s="10"/>
      <c r="AL324" s="10"/>
      <c r="AM324" s="10"/>
    </row>
    <row r="325" spans="1:39" ht="18.75" customHeight="1" x14ac:dyDescent="0.2">
      <c r="A325" s="48"/>
      <c r="B325" s="94" t="s">
        <v>59</v>
      </c>
      <c r="C325" s="95"/>
      <c r="D325" s="96">
        <f t="shared" ref="D325:AD325" si="230">D15+D212</f>
        <v>108644.29999999999</v>
      </c>
      <c r="E325" s="96">
        <f t="shared" si="230"/>
        <v>228037.1</v>
      </c>
      <c r="F325" s="96">
        <f t="shared" si="230"/>
        <v>356648.76999999996</v>
      </c>
      <c r="G325" s="96">
        <f t="shared" si="230"/>
        <v>602861.33499999996</v>
      </c>
      <c r="H325" s="96">
        <f t="shared" si="230"/>
        <v>624464.17339999997</v>
      </c>
      <c r="I325" s="96">
        <f t="shared" si="230"/>
        <v>992538.5107000001</v>
      </c>
      <c r="J325" s="96">
        <f t="shared" si="230"/>
        <v>895006.93514800025</v>
      </c>
      <c r="K325" s="96">
        <f t="shared" si="230"/>
        <v>833253.208354</v>
      </c>
      <c r="L325" s="96">
        <f t="shared" si="230"/>
        <v>710075.51573255996</v>
      </c>
      <c r="M325" s="96">
        <f t="shared" si="230"/>
        <v>704580.64683788014</v>
      </c>
      <c r="N325" s="96">
        <f t="shared" si="230"/>
        <v>794448.63046116324</v>
      </c>
      <c r="O325" s="96">
        <f t="shared" si="230"/>
        <v>1014916.7593043336</v>
      </c>
      <c r="P325" s="96">
        <f t="shared" si="230"/>
        <v>1254402.0397014557</v>
      </c>
      <c r="Q325" s="96">
        <f t="shared" si="230"/>
        <v>1515927.6230469532</v>
      </c>
      <c r="R325" s="96">
        <f t="shared" si="230"/>
        <v>2001914.7577343201</v>
      </c>
      <c r="S325" s="96">
        <f t="shared" si="230"/>
        <v>1934392.3590703297</v>
      </c>
      <c r="T325" s="96">
        <f t="shared" si="230"/>
        <v>2350951.0967015503</v>
      </c>
      <c r="U325" s="96">
        <f t="shared" si="230"/>
        <v>2572456.0449954723</v>
      </c>
      <c r="V325" s="96">
        <f t="shared" si="230"/>
        <v>2180530.9112743409</v>
      </c>
      <c r="W325" s="96">
        <f t="shared" si="230"/>
        <v>1984811.1728990041</v>
      </c>
      <c r="X325" s="96">
        <f t="shared" si="230"/>
        <v>1599462.750480355</v>
      </c>
      <c r="Y325" s="96">
        <f t="shared" si="230"/>
        <v>1572818.135037781</v>
      </c>
      <c r="Z325" s="96">
        <f t="shared" si="230"/>
        <v>1620023.0631056782</v>
      </c>
      <c r="AA325" s="96">
        <f t="shared" si="230"/>
        <v>2524337.947708312</v>
      </c>
      <c r="AB325" s="96">
        <f t="shared" si="230"/>
        <v>2743688.8558832491</v>
      </c>
      <c r="AC325" s="96">
        <f t="shared" si="230"/>
        <v>3221083.2914958284</v>
      </c>
      <c r="AD325" s="96">
        <f t="shared" si="230"/>
        <v>3821801.8392943149</v>
      </c>
      <c r="AE325" s="10"/>
      <c r="AF325" s="10"/>
      <c r="AG325" s="10"/>
      <c r="AH325" s="10"/>
      <c r="AI325" s="10"/>
      <c r="AJ325" s="10"/>
      <c r="AK325" s="10"/>
      <c r="AL325" s="10"/>
      <c r="AM325" s="10"/>
    </row>
    <row r="326" spans="1:39" ht="28.5" customHeight="1" x14ac:dyDescent="0.2">
      <c r="A326" s="48"/>
      <c r="B326" s="537" t="s">
        <v>60</v>
      </c>
      <c r="C326" s="92"/>
      <c r="D326" s="98">
        <f t="shared" ref="D326:AD326" si="231">IFERROR(D325/D15,0)</f>
        <v>0.6266976234425472</v>
      </c>
      <c r="E326" s="98">
        <f t="shared" si="231"/>
        <v>0.62910257117634083</v>
      </c>
      <c r="F326" s="98">
        <f t="shared" si="231"/>
        <v>0.6439584160139189</v>
      </c>
      <c r="G326" s="98">
        <f t="shared" si="231"/>
        <v>0.64317825651346427</v>
      </c>
      <c r="H326" s="98">
        <f t="shared" si="231"/>
        <v>0.64894658941512429</v>
      </c>
      <c r="I326" s="98">
        <f t="shared" si="231"/>
        <v>0.65043153124052289</v>
      </c>
      <c r="J326" s="98">
        <f t="shared" si="231"/>
        <v>0.65145430024295403</v>
      </c>
      <c r="K326" s="98">
        <f t="shared" si="231"/>
        <v>0.66589425057928398</v>
      </c>
      <c r="L326" s="98">
        <f t="shared" si="231"/>
        <v>0.66913806610054372</v>
      </c>
      <c r="M326" s="98">
        <f t="shared" si="231"/>
        <v>0.66795581505152957</v>
      </c>
      <c r="N326" s="98">
        <f t="shared" si="231"/>
        <v>0.65847424925459552</v>
      </c>
      <c r="O326" s="98">
        <f t="shared" si="231"/>
        <v>0.65401598099558245</v>
      </c>
      <c r="P326" s="98">
        <f t="shared" si="231"/>
        <v>0.65078261068849275</v>
      </c>
      <c r="Q326" s="98">
        <f t="shared" si="231"/>
        <v>0.65097665579973651</v>
      </c>
      <c r="R326" s="98">
        <f t="shared" si="231"/>
        <v>0.65001386288984819</v>
      </c>
      <c r="S326" s="98">
        <f t="shared" si="231"/>
        <v>0.65484920932832302</v>
      </c>
      <c r="T326" s="98">
        <f t="shared" si="231"/>
        <v>0.65724058883248537</v>
      </c>
      <c r="U326" s="98">
        <f t="shared" si="231"/>
        <v>0.65424670915915284</v>
      </c>
      <c r="V326" s="98">
        <f t="shared" si="231"/>
        <v>0.66355057656898941</v>
      </c>
      <c r="W326" s="98">
        <f t="shared" si="231"/>
        <v>0.67031510098713099</v>
      </c>
      <c r="X326" s="98">
        <f t="shared" si="231"/>
        <v>0.67278946355245195</v>
      </c>
      <c r="Y326" s="98">
        <f t="shared" si="231"/>
        <v>0.67026038937835064</v>
      </c>
      <c r="Z326" s="98">
        <f t="shared" si="231"/>
        <v>0.66151535860153809</v>
      </c>
      <c r="AA326" s="98">
        <f t="shared" si="231"/>
        <v>0.65121593017780177</v>
      </c>
      <c r="AB326" s="98">
        <f t="shared" si="231"/>
        <v>0.64932494957532116</v>
      </c>
      <c r="AC326" s="98">
        <f t="shared" si="231"/>
        <v>0.65485380057308851</v>
      </c>
      <c r="AD326" s="98">
        <f t="shared" si="231"/>
        <v>0.65289512502710589</v>
      </c>
      <c r="AE326" s="10"/>
      <c r="AF326" s="10"/>
      <c r="AG326" s="10"/>
      <c r="AH326" s="10"/>
      <c r="AI326" s="10"/>
      <c r="AJ326" s="10"/>
      <c r="AK326" s="10"/>
      <c r="AL326" s="10"/>
      <c r="AM326" s="10"/>
    </row>
    <row r="327" spans="1:39" ht="33.75" customHeight="1" x14ac:dyDescent="0.2">
      <c r="A327" s="48"/>
      <c r="B327" s="46" t="s">
        <v>61</v>
      </c>
      <c r="C327" s="92"/>
      <c r="D327" s="99">
        <f t="shared" ref="D327:AD327" si="232">D16+D213</f>
        <v>63349.1</v>
      </c>
      <c r="E327" s="99">
        <f t="shared" si="232"/>
        <v>137446.70000000001</v>
      </c>
      <c r="F327" s="99">
        <f t="shared" si="232"/>
        <v>227063.17</v>
      </c>
      <c r="G327" s="99">
        <f t="shared" si="232"/>
        <v>382685.33499999996</v>
      </c>
      <c r="H327" s="99">
        <f t="shared" si="232"/>
        <v>404288.17340000003</v>
      </c>
      <c r="I327" s="99">
        <f t="shared" si="232"/>
        <v>642776.91070000012</v>
      </c>
      <c r="J327" s="99">
        <f t="shared" si="232"/>
        <v>584240.53514800011</v>
      </c>
      <c r="K327" s="99">
        <f t="shared" si="232"/>
        <v>567782.00835400005</v>
      </c>
      <c r="L327" s="99">
        <f t="shared" si="232"/>
        <v>489899.51573255996</v>
      </c>
      <c r="M327" s="99">
        <f t="shared" si="232"/>
        <v>484404.64683788008</v>
      </c>
      <c r="N327" s="99">
        <f t="shared" si="232"/>
        <v>528977.43046116317</v>
      </c>
      <c r="O327" s="99">
        <f t="shared" si="232"/>
        <v>665155.15930433362</v>
      </c>
      <c r="P327" s="99">
        <f t="shared" si="232"/>
        <v>814050.03970145574</v>
      </c>
      <c r="Q327" s="99">
        <f t="shared" si="232"/>
        <v>984985.22304695332</v>
      </c>
      <c r="R327" s="99">
        <f t="shared" si="232"/>
        <v>1296091.5577343202</v>
      </c>
      <c r="S327" s="99">
        <f t="shared" si="232"/>
        <v>1273864.3590703297</v>
      </c>
      <c r="T327" s="99">
        <f t="shared" si="232"/>
        <v>1560837.4967015502</v>
      </c>
      <c r="U327" s="99">
        <f t="shared" si="232"/>
        <v>1691752.0449954723</v>
      </c>
      <c r="V327" s="99">
        <f t="shared" si="232"/>
        <v>1474707.7112743412</v>
      </c>
      <c r="W327" s="99">
        <f t="shared" si="232"/>
        <v>1369578.3728990038</v>
      </c>
      <c r="X327" s="99">
        <f t="shared" si="232"/>
        <v>1113815.550480355</v>
      </c>
      <c r="Y327" s="99">
        <f t="shared" si="232"/>
        <v>1087170.935037781</v>
      </c>
      <c r="Z327" s="99">
        <f t="shared" si="232"/>
        <v>1089080.6631056783</v>
      </c>
      <c r="AA327" s="99">
        <f t="shared" si="232"/>
        <v>1643633.947708312</v>
      </c>
      <c r="AB327" s="99">
        <f t="shared" si="232"/>
        <v>1772394.4558832489</v>
      </c>
      <c r="AC327" s="99">
        <f t="shared" si="232"/>
        <v>2120203.2914958284</v>
      </c>
      <c r="AD327" s="99">
        <f t="shared" si="232"/>
        <v>2500745.8392943149</v>
      </c>
      <c r="AE327" s="10"/>
      <c r="AF327" s="10"/>
      <c r="AG327" s="10"/>
      <c r="AH327" s="10"/>
      <c r="AI327" s="10"/>
      <c r="AJ327" s="10"/>
      <c r="AK327" s="10"/>
      <c r="AL327" s="10"/>
      <c r="AM327" s="10"/>
    </row>
    <row r="328" spans="1:39" ht="31.5" x14ac:dyDescent="0.2">
      <c r="A328" s="48"/>
      <c r="B328" s="100" t="s">
        <v>60</v>
      </c>
      <c r="C328" s="101"/>
      <c r="D328" s="102">
        <f t="shared" ref="D328:AD328" si="233">D327/D16</f>
        <v>0.66993549069373937</v>
      </c>
      <c r="E328" s="102">
        <f t="shared" si="233"/>
        <v>0.67086440843420547</v>
      </c>
      <c r="F328" s="102">
        <f t="shared" si="233"/>
        <v>0.68146577622568194</v>
      </c>
      <c r="G328" s="102">
        <f t="shared" si="233"/>
        <v>0.68449596575493032</v>
      </c>
      <c r="H328" s="102">
        <f t="shared" si="233"/>
        <v>0.69223443759239578</v>
      </c>
      <c r="I328" s="102">
        <f t="shared" si="233"/>
        <v>0.69332797920655853</v>
      </c>
      <c r="J328" s="102">
        <f t="shared" si="233"/>
        <v>0.69716785975110518</v>
      </c>
      <c r="K328" s="102">
        <f t="shared" si="233"/>
        <v>0.71482993683041163</v>
      </c>
      <c r="L328" s="102">
        <f t="shared" si="233"/>
        <v>0.71733968290257366</v>
      </c>
      <c r="M328" s="102">
        <f t="shared" si="233"/>
        <v>0.71594876346441505</v>
      </c>
      <c r="N328" s="102">
        <f t="shared" si="233"/>
        <v>0.705812213268599</v>
      </c>
      <c r="O328" s="102">
        <f t="shared" si="233"/>
        <v>0.69800130822853501</v>
      </c>
      <c r="P328" s="102">
        <f t="shared" si="233"/>
        <v>0.69514629727519228</v>
      </c>
      <c r="Q328" s="102">
        <f t="shared" si="233"/>
        <v>0.69629091753492667</v>
      </c>
      <c r="R328" s="102">
        <f t="shared" si="233"/>
        <v>0.69447743844646836</v>
      </c>
      <c r="S328" s="102">
        <f t="shared" si="233"/>
        <v>0.70022140393267562</v>
      </c>
      <c r="T328" s="102">
        <f t="shared" si="233"/>
        <v>0.70256021772284671</v>
      </c>
      <c r="U328" s="102">
        <f t="shared" si="233"/>
        <v>0.69936708695325123</v>
      </c>
      <c r="V328" s="102">
        <f t="shared" si="233"/>
        <v>0.71151301716195825</v>
      </c>
      <c r="W328" s="102">
        <f t="shared" si="233"/>
        <v>0.71890399490484624</v>
      </c>
      <c r="X328" s="102">
        <f t="shared" si="233"/>
        <v>0.72228130817013891</v>
      </c>
      <c r="Y328" s="102">
        <f t="shared" si="233"/>
        <v>0.71936249164519916</v>
      </c>
      <c r="Z328" s="102">
        <f t="shared" si="233"/>
        <v>0.70955538415500552</v>
      </c>
      <c r="AA328" s="102">
        <f t="shared" si="233"/>
        <v>0.695457402096059</v>
      </c>
      <c r="AB328" s="102">
        <f t="shared" si="233"/>
        <v>0.69372685079097218</v>
      </c>
      <c r="AC328" s="102">
        <f t="shared" si="233"/>
        <v>0.70029583763293368</v>
      </c>
      <c r="AD328" s="102">
        <f t="shared" si="233"/>
        <v>0.69771714391194273</v>
      </c>
      <c r="AE328" s="10"/>
      <c r="AF328" s="10"/>
      <c r="AG328" s="10"/>
      <c r="AH328" s="10"/>
      <c r="AI328" s="10"/>
      <c r="AJ328" s="10"/>
      <c r="AK328" s="10"/>
      <c r="AL328" s="10"/>
      <c r="AM328" s="10"/>
    </row>
    <row r="329" spans="1:39" ht="18.75" customHeight="1" x14ac:dyDescent="0.2">
      <c r="A329" s="48"/>
      <c r="B329" s="46" t="s">
        <v>62</v>
      </c>
      <c r="C329" s="92"/>
      <c r="D329" s="99">
        <f t="shared" ref="D329:AD329" si="234">D89+D250</f>
        <v>12600</v>
      </c>
      <c r="E329" s="99">
        <f t="shared" si="234"/>
        <v>25200</v>
      </c>
      <c r="F329" s="99">
        <f t="shared" si="234"/>
        <v>31500</v>
      </c>
      <c r="G329" s="99">
        <f t="shared" si="234"/>
        <v>56700</v>
      </c>
      <c r="H329" s="99">
        <f t="shared" si="234"/>
        <v>56700</v>
      </c>
      <c r="I329" s="99">
        <f t="shared" si="234"/>
        <v>88200</v>
      </c>
      <c r="J329" s="99">
        <f t="shared" si="234"/>
        <v>81900</v>
      </c>
      <c r="K329" s="99">
        <f t="shared" si="234"/>
        <v>69300</v>
      </c>
      <c r="L329" s="99">
        <f t="shared" si="234"/>
        <v>56700</v>
      </c>
      <c r="M329" s="99">
        <f t="shared" si="234"/>
        <v>56700</v>
      </c>
      <c r="N329" s="99">
        <f t="shared" si="234"/>
        <v>69300</v>
      </c>
      <c r="O329" s="99">
        <f t="shared" si="234"/>
        <v>88200</v>
      </c>
      <c r="P329" s="99">
        <f t="shared" si="234"/>
        <v>113400</v>
      </c>
      <c r="Q329" s="99">
        <f t="shared" si="234"/>
        <v>138600</v>
      </c>
      <c r="R329" s="99">
        <f t="shared" si="234"/>
        <v>182700</v>
      </c>
      <c r="S329" s="99">
        <f t="shared" si="234"/>
        <v>170100</v>
      </c>
      <c r="T329" s="99">
        <f t="shared" si="234"/>
        <v>201600</v>
      </c>
      <c r="U329" s="99">
        <f t="shared" si="234"/>
        <v>226800</v>
      </c>
      <c r="V329" s="99">
        <f t="shared" si="234"/>
        <v>182700</v>
      </c>
      <c r="W329" s="99">
        <f t="shared" si="234"/>
        <v>157500</v>
      </c>
      <c r="X329" s="99">
        <f t="shared" si="234"/>
        <v>126000</v>
      </c>
      <c r="Y329" s="99">
        <f t="shared" si="234"/>
        <v>126000</v>
      </c>
      <c r="Z329" s="99">
        <f t="shared" si="234"/>
        <v>138600</v>
      </c>
      <c r="AA329" s="99">
        <f t="shared" si="234"/>
        <v>226800</v>
      </c>
      <c r="AB329" s="99">
        <f t="shared" si="234"/>
        <v>252000</v>
      </c>
      <c r="AC329" s="99">
        <f t="shared" si="234"/>
        <v>283500</v>
      </c>
      <c r="AD329" s="99">
        <f t="shared" si="234"/>
        <v>340200</v>
      </c>
      <c r="AE329" s="10"/>
      <c r="AF329" s="10"/>
      <c r="AG329" s="10"/>
      <c r="AH329" s="10"/>
      <c r="AI329" s="10"/>
      <c r="AJ329" s="10"/>
      <c r="AK329" s="10"/>
      <c r="AL329" s="10"/>
      <c r="AM329" s="10"/>
    </row>
    <row r="330" spans="1:39" ht="31.5" x14ac:dyDescent="0.2">
      <c r="A330" s="48"/>
      <c r="B330" s="100" t="s">
        <v>60</v>
      </c>
      <c r="C330" s="101"/>
      <c r="D330" s="102">
        <f t="shared" ref="D330:AD330" si="235">D329/D89</f>
        <v>0.39974619289340102</v>
      </c>
      <c r="E330" s="102">
        <f t="shared" si="235"/>
        <v>0.39974619289340102</v>
      </c>
      <c r="F330" s="102">
        <f t="shared" si="235"/>
        <v>0.39974619289340102</v>
      </c>
      <c r="G330" s="102">
        <f t="shared" si="235"/>
        <v>0.39974619289340102</v>
      </c>
      <c r="H330" s="102">
        <f t="shared" si="235"/>
        <v>0.39974619289340102</v>
      </c>
      <c r="I330" s="102">
        <f t="shared" si="235"/>
        <v>0.39974619289340102</v>
      </c>
      <c r="J330" s="102">
        <f t="shared" si="235"/>
        <v>0.39974619289340102</v>
      </c>
      <c r="K330" s="102">
        <f t="shared" si="235"/>
        <v>0.39974619289340102</v>
      </c>
      <c r="L330" s="102">
        <f t="shared" si="235"/>
        <v>0.39974619289340102</v>
      </c>
      <c r="M330" s="102">
        <f t="shared" si="235"/>
        <v>0.39974619289340102</v>
      </c>
      <c r="N330" s="102">
        <f t="shared" si="235"/>
        <v>0.39974619289340102</v>
      </c>
      <c r="O330" s="102">
        <f t="shared" si="235"/>
        <v>0.39974619289340102</v>
      </c>
      <c r="P330" s="102">
        <f t="shared" si="235"/>
        <v>0.39974619289340102</v>
      </c>
      <c r="Q330" s="102">
        <f t="shared" si="235"/>
        <v>0.39974619289340102</v>
      </c>
      <c r="R330" s="102">
        <f t="shared" si="235"/>
        <v>0.39974619289340102</v>
      </c>
      <c r="S330" s="102">
        <f t="shared" si="235"/>
        <v>0.39974619289340102</v>
      </c>
      <c r="T330" s="102">
        <f t="shared" si="235"/>
        <v>0.39974619289340102</v>
      </c>
      <c r="U330" s="102">
        <f t="shared" si="235"/>
        <v>0.39974619289340102</v>
      </c>
      <c r="V330" s="102">
        <f t="shared" si="235"/>
        <v>0.39974619289340102</v>
      </c>
      <c r="W330" s="102">
        <f t="shared" si="235"/>
        <v>0.39974619289340102</v>
      </c>
      <c r="X330" s="102">
        <f t="shared" si="235"/>
        <v>0.39974619289340102</v>
      </c>
      <c r="Y330" s="102">
        <f t="shared" si="235"/>
        <v>0.39974619289340102</v>
      </c>
      <c r="Z330" s="102">
        <f t="shared" si="235"/>
        <v>0.39974619289340102</v>
      </c>
      <c r="AA330" s="102">
        <f t="shared" si="235"/>
        <v>0.39974619289340102</v>
      </c>
      <c r="AB330" s="102">
        <f t="shared" si="235"/>
        <v>0.39974619289340102</v>
      </c>
      <c r="AC330" s="102">
        <f t="shared" si="235"/>
        <v>0.39974619289340102</v>
      </c>
      <c r="AD330" s="102">
        <f t="shared" si="235"/>
        <v>0.39974619289340102</v>
      </c>
      <c r="AE330" s="10"/>
      <c r="AF330" s="10"/>
      <c r="AG330" s="10"/>
      <c r="AH330" s="10"/>
      <c r="AI330" s="10"/>
      <c r="AJ330" s="10"/>
      <c r="AK330" s="10"/>
      <c r="AL330" s="10"/>
      <c r="AM330" s="10"/>
    </row>
    <row r="331" spans="1:39" ht="18.75" customHeight="1" x14ac:dyDescent="0.2">
      <c r="A331" s="48"/>
      <c r="B331" s="46" t="s">
        <v>63</v>
      </c>
      <c r="C331" s="92"/>
      <c r="D331" s="99">
        <f t="shared" ref="D331:AD331" si="236">D150+D287</f>
        <v>32695.199999999997</v>
      </c>
      <c r="E331" s="99">
        <f t="shared" si="236"/>
        <v>65390.399999999994</v>
      </c>
      <c r="F331" s="99">
        <f t="shared" si="236"/>
        <v>98085.6</v>
      </c>
      <c r="G331" s="99">
        <f t="shared" si="236"/>
        <v>163476</v>
      </c>
      <c r="H331" s="99">
        <f t="shared" si="236"/>
        <v>163476</v>
      </c>
      <c r="I331" s="99">
        <f t="shared" si="236"/>
        <v>261561.59999999998</v>
      </c>
      <c r="J331" s="99">
        <f t="shared" si="236"/>
        <v>228866.40000000002</v>
      </c>
      <c r="K331" s="99">
        <f t="shared" si="236"/>
        <v>196171.2</v>
      </c>
      <c r="L331" s="99">
        <f t="shared" si="236"/>
        <v>163476</v>
      </c>
      <c r="M331" s="99">
        <f t="shared" si="236"/>
        <v>163476</v>
      </c>
      <c r="N331" s="99">
        <f t="shared" si="236"/>
        <v>196171.2</v>
      </c>
      <c r="O331" s="99">
        <f t="shared" si="236"/>
        <v>261561.59999999998</v>
      </c>
      <c r="P331" s="99">
        <f t="shared" si="236"/>
        <v>326952</v>
      </c>
      <c r="Q331" s="99">
        <f t="shared" si="236"/>
        <v>392342.4</v>
      </c>
      <c r="R331" s="99">
        <f t="shared" si="236"/>
        <v>523123.19999999995</v>
      </c>
      <c r="S331" s="99">
        <f t="shared" si="236"/>
        <v>490428</v>
      </c>
      <c r="T331" s="99">
        <f t="shared" si="236"/>
        <v>588513.6</v>
      </c>
      <c r="U331" s="99">
        <f t="shared" si="236"/>
        <v>653904</v>
      </c>
      <c r="V331" s="99">
        <f t="shared" si="236"/>
        <v>523123.19999999995</v>
      </c>
      <c r="W331" s="99">
        <f t="shared" si="236"/>
        <v>457732.80000000005</v>
      </c>
      <c r="X331" s="99">
        <f t="shared" si="236"/>
        <v>359647.2</v>
      </c>
      <c r="Y331" s="99">
        <f t="shared" si="236"/>
        <v>359647.2</v>
      </c>
      <c r="Z331" s="99">
        <f t="shared" si="236"/>
        <v>392342.4</v>
      </c>
      <c r="AA331" s="99">
        <f t="shared" si="236"/>
        <v>653904</v>
      </c>
      <c r="AB331" s="99">
        <f t="shared" si="236"/>
        <v>719294.4</v>
      </c>
      <c r="AC331" s="99">
        <f t="shared" si="236"/>
        <v>817380</v>
      </c>
      <c r="AD331" s="99">
        <f t="shared" si="236"/>
        <v>980856</v>
      </c>
      <c r="AE331" s="10"/>
      <c r="AF331" s="10"/>
      <c r="AG331" s="10"/>
      <c r="AH331" s="10"/>
      <c r="AI331" s="10"/>
      <c r="AJ331" s="10"/>
      <c r="AK331" s="10"/>
      <c r="AL331" s="10"/>
      <c r="AM331" s="10"/>
    </row>
    <row r="332" spans="1:39" ht="31.5" x14ac:dyDescent="0.2">
      <c r="A332" s="48"/>
      <c r="B332" s="100" t="s">
        <v>60</v>
      </c>
      <c r="C332" s="101"/>
      <c r="D332" s="102">
        <f t="shared" ref="D332:AD332" si="237">D331/D150</f>
        <v>0.69152284263959385</v>
      </c>
      <c r="E332" s="102">
        <f t="shared" si="237"/>
        <v>0.69152284263959385</v>
      </c>
      <c r="F332" s="102">
        <f t="shared" si="237"/>
        <v>0.69152284263959396</v>
      </c>
      <c r="G332" s="102">
        <f t="shared" si="237"/>
        <v>0.69152284263959396</v>
      </c>
      <c r="H332" s="102">
        <f t="shared" si="237"/>
        <v>0.69152284263959396</v>
      </c>
      <c r="I332" s="102">
        <f t="shared" si="237"/>
        <v>0.69152284263959385</v>
      </c>
      <c r="J332" s="102">
        <f t="shared" si="237"/>
        <v>0.69152284263959396</v>
      </c>
      <c r="K332" s="102">
        <f t="shared" si="237"/>
        <v>0.69152284263959396</v>
      </c>
      <c r="L332" s="102">
        <f t="shared" si="237"/>
        <v>0.69152284263959396</v>
      </c>
      <c r="M332" s="102">
        <f t="shared" si="237"/>
        <v>0.69152284263959396</v>
      </c>
      <c r="N332" s="102">
        <f t="shared" si="237"/>
        <v>0.69152284263959396</v>
      </c>
      <c r="O332" s="102">
        <f t="shared" si="237"/>
        <v>0.69152284263959385</v>
      </c>
      <c r="P332" s="102">
        <f t="shared" si="237"/>
        <v>0.69152284263959396</v>
      </c>
      <c r="Q332" s="102">
        <f t="shared" si="237"/>
        <v>0.69152284263959396</v>
      </c>
      <c r="R332" s="102">
        <f t="shared" si="237"/>
        <v>0.69152284263959385</v>
      </c>
      <c r="S332" s="102">
        <f t="shared" si="237"/>
        <v>0.69152284263959396</v>
      </c>
      <c r="T332" s="102">
        <f t="shared" si="237"/>
        <v>0.69152284263959385</v>
      </c>
      <c r="U332" s="102">
        <f t="shared" si="237"/>
        <v>0.69152284263959396</v>
      </c>
      <c r="V332" s="102">
        <f t="shared" si="237"/>
        <v>0.69152284263959385</v>
      </c>
      <c r="W332" s="102">
        <f t="shared" si="237"/>
        <v>0.69152284263959396</v>
      </c>
      <c r="X332" s="102">
        <f t="shared" si="237"/>
        <v>0.69152284263959396</v>
      </c>
      <c r="Y332" s="102">
        <f t="shared" si="237"/>
        <v>0.69152284263959396</v>
      </c>
      <c r="Z332" s="102">
        <f t="shared" si="237"/>
        <v>0.69152284263959396</v>
      </c>
      <c r="AA332" s="102">
        <f t="shared" si="237"/>
        <v>0.69152284263959396</v>
      </c>
      <c r="AB332" s="102">
        <f t="shared" si="237"/>
        <v>0.69152284263959396</v>
      </c>
      <c r="AC332" s="102">
        <f t="shared" si="237"/>
        <v>0.69152284263959396</v>
      </c>
      <c r="AD332" s="102">
        <f t="shared" si="237"/>
        <v>0.69152284263959396</v>
      </c>
      <c r="AE332" s="10"/>
      <c r="AF332" s="10"/>
      <c r="AG332" s="10"/>
      <c r="AH332" s="10"/>
      <c r="AI332" s="10"/>
      <c r="AJ332" s="10"/>
      <c r="AK332" s="10"/>
      <c r="AL332" s="10"/>
      <c r="AM332" s="10"/>
    </row>
    <row r="333" spans="1:39" ht="15.75" customHeight="1" collapsed="1" x14ac:dyDescent="0.2">
      <c r="A333" s="16"/>
      <c r="B333" s="103" t="s">
        <v>64</v>
      </c>
      <c r="C333" s="76"/>
      <c r="D333" s="77">
        <f t="shared" ref="D333:AD333" si="238">D334+D336+SUM(D339:D344)</f>
        <v>-23276</v>
      </c>
      <c r="E333" s="77">
        <f t="shared" si="238"/>
        <v>-48668</v>
      </c>
      <c r="F333" s="77">
        <f t="shared" si="238"/>
        <v>-73743.820000000007</v>
      </c>
      <c r="G333" s="77">
        <f t="shared" si="238"/>
        <v>-124511.61</v>
      </c>
      <c r="H333" s="77">
        <f t="shared" si="238"/>
        <v>-127007.36040000001</v>
      </c>
      <c r="I333" s="77">
        <f t="shared" si="238"/>
        <v>-201196.92420000001</v>
      </c>
      <c r="J333" s="77">
        <f t="shared" si="238"/>
        <v>-180585.98928800001</v>
      </c>
      <c r="K333" s="77">
        <f t="shared" si="238"/>
        <v>-161852.96332400001</v>
      </c>
      <c r="L333" s="77">
        <f t="shared" si="238"/>
        <v>-136897.93764336</v>
      </c>
      <c r="M333" s="77">
        <f t="shared" si="238"/>
        <v>-136263.12193128001</v>
      </c>
      <c r="N333" s="77">
        <f t="shared" si="238"/>
        <v>-157369.91628153919</v>
      </c>
      <c r="O333" s="77">
        <f t="shared" si="238"/>
        <v>-203782.25682488162</v>
      </c>
      <c r="P333" s="77">
        <f t="shared" si="238"/>
        <v>-253772.85158193862</v>
      </c>
      <c r="Q333" s="77">
        <f t="shared" si="238"/>
        <v>-306309.73650147393</v>
      </c>
      <c r="R333" s="77">
        <f t="shared" si="238"/>
        <v>-376398.3173480265</v>
      </c>
      <c r="S333" s="77">
        <f t="shared" si="238"/>
        <v>-359655.08203032427</v>
      </c>
      <c r="T333" s="77">
        <f t="shared" si="238"/>
        <v>-434812.22981656581</v>
      </c>
      <c r="U333" s="77">
        <f t="shared" si="238"/>
        <v>-478999.57804667135</v>
      </c>
      <c r="V333" s="77">
        <f t="shared" si="238"/>
        <v>-397033.63055964449</v>
      </c>
      <c r="W333" s="77">
        <f t="shared" si="238"/>
        <v>-355825.21717026772</v>
      </c>
      <c r="X333" s="77">
        <f t="shared" si="238"/>
        <v>-284985.99872312177</v>
      </c>
      <c r="Y333" s="77">
        <f t="shared" si="238"/>
        <v>-281907.77777745889</v>
      </c>
      <c r="Z333" s="77">
        <f t="shared" si="238"/>
        <v>-288959.75971908681</v>
      </c>
      <c r="AA333" s="77">
        <f t="shared" si="238"/>
        <v>-461182.55111104099</v>
      </c>
      <c r="AB333" s="77">
        <f t="shared" si="238"/>
        <v>-503220.8071381991</v>
      </c>
      <c r="AC333" s="77">
        <f t="shared" si="238"/>
        <v>-583570.23124442901</v>
      </c>
      <c r="AD333" s="77">
        <f t="shared" si="238"/>
        <v>-695522.28757040377</v>
      </c>
      <c r="AE333" s="10"/>
      <c r="AF333" s="10"/>
      <c r="AG333" s="10"/>
      <c r="AH333" s="10"/>
      <c r="AI333" s="10"/>
      <c r="AJ333" s="10"/>
      <c r="AK333" s="10"/>
      <c r="AL333" s="10"/>
      <c r="AM333" s="10"/>
    </row>
    <row r="334" spans="1:39" ht="15.75" hidden="1" customHeight="1" outlineLevel="1" x14ac:dyDescent="0.25">
      <c r="A334" s="104"/>
      <c r="B334" s="105" t="s">
        <v>65</v>
      </c>
      <c r="C334" s="106"/>
      <c r="D334" s="107">
        <f t="shared" ref="D334:AD334" si="239">-$C$335*D15</f>
        <v>-17336</v>
      </c>
      <c r="E334" s="107">
        <f t="shared" si="239"/>
        <v>-36248</v>
      </c>
      <c r="F334" s="107">
        <f t="shared" si="239"/>
        <v>-55383.82</v>
      </c>
      <c r="G334" s="107">
        <f t="shared" si="239"/>
        <v>-93731.61</v>
      </c>
      <c r="H334" s="107">
        <f t="shared" si="239"/>
        <v>-96227.360400000005</v>
      </c>
      <c r="I334" s="107">
        <f t="shared" si="239"/>
        <v>-152596.92420000001</v>
      </c>
      <c r="J334" s="107">
        <f t="shared" si="239"/>
        <v>-137385.98928800001</v>
      </c>
      <c r="K334" s="107">
        <f t="shared" si="239"/>
        <v>-125132.963324</v>
      </c>
      <c r="L334" s="107">
        <f t="shared" si="239"/>
        <v>-106117.93764336</v>
      </c>
      <c r="M334" s="107">
        <f t="shared" si="239"/>
        <v>-105483.12193128001</v>
      </c>
      <c r="N334" s="107">
        <f t="shared" si="239"/>
        <v>-120649.9162815392</v>
      </c>
      <c r="O334" s="107">
        <f t="shared" si="239"/>
        <v>-155182.25682488162</v>
      </c>
      <c r="P334" s="107">
        <f t="shared" si="239"/>
        <v>-192752.85158193862</v>
      </c>
      <c r="Q334" s="107">
        <f t="shared" si="239"/>
        <v>-232869.73650147393</v>
      </c>
      <c r="R334" s="107">
        <f t="shared" si="239"/>
        <v>-307980.3173480265</v>
      </c>
      <c r="S334" s="107">
        <f t="shared" si="239"/>
        <v>-295395.08203032427</v>
      </c>
      <c r="T334" s="107">
        <f t="shared" si="239"/>
        <v>-357700.22981656581</v>
      </c>
      <c r="U334" s="107">
        <f t="shared" si="239"/>
        <v>-393193.57804667135</v>
      </c>
      <c r="V334" s="107">
        <f t="shared" si="239"/>
        <v>-328615.63055964449</v>
      </c>
      <c r="W334" s="107">
        <f t="shared" si="239"/>
        <v>-296101.21717026772</v>
      </c>
      <c r="X334" s="107">
        <f t="shared" si="239"/>
        <v>-237735.9987231218</v>
      </c>
      <c r="Y334" s="107">
        <f t="shared" si="239"/>
        <v>-234657.77777745892</v>
      </c>
      <c r="Z334" s="107">
        <f t="shared" si="239"/>
        <v>-244895.75971908681</v>
      </c>
      <c r="AA334" s="107">
        <f t="shared" si="239"/>
        <v>-387634.55111104099</v>
      </c>
      <c r="AB334" s="107">
        <f t="shared" si="239"/>
        <v>-422544.8071381991</v>
      </c>
      <c r="AC334" s="107">
        <f t="shared" si="239"/>
        <v>-491878.23124442901</v>
      </c>
      <c r="AD334" s="107">
        <f t="shared" si="239"/>
        <v>-585362.28757040377</v>
      </c>
      <c r="AE334" s="10"/>
      <c r="AF334" s="10"/>
      <c r="AG334" s="10"/>
      <c r="AH334" s="10"/>
      <c r="AI334" s="10"/>
      <c r="AJ334" s="10"/>
      <c r="AK334" s="10"/>
      <c r="AL334" s="10"/>
      <c r="AM334" s="10"/>
    </row>
    <row r="335" spans="1:39" ht="15.75" hidden="1" customHeight="1" outlineLevel="1" x14ac:dyDescent="0.2">
      <c r="A335" s="108"/>
      <c r="B335" s="109" t="s">
        <v>66</v>
      </c>
      <c r="C335" s="110">
        <v>0.1</v>
      </c>
      <c r="D335" s="111"/>
      <c r="E335" s="111"/>
      <c r="F335" s="111"/>
      <c r="G335" s="111"/>
      <c r="H335" s="111"/>
      <c r="I335" s="111"/>
      <c r="J335" s="111"/>
      <c r="K335" s="111"/>
      <c r="L335" s="111"/>
      <c r="M335" s="111"/>
      <c r="N335" s="111"/>
      <c r="O335" s="111"/>
      <c r="P335" s="111"/>
      <c r="Q335" s="111"/>
      <c r="R335" s="111"/>
      <c r="S335" s="111"/>
      <c r="T335" s="111"/>
      <c r="U335" s="111"/>
      <c r="V335" s="111"/>
      <c r="W335" s="111"/>
      <c r="X335" s="111"/>
      <c r="Y335" s="111"/>
      <c r="Z335" s="111"/>
      <c r="AA335" s="111"/>
      <c r="AB335" s="111"/>
      <c r="AC335" s="111"/>
      <c r="AD335" s="111"/>
      <c r="AE335" s="112"/>
      <c r="AF335" s="112"/>
      <c r="AG335" s="112"/>
      <c r="AH335" s="112"/>
      <c r="AI335" s="112"/>
      <c r="AJ335" s="112"/>
      <c r="AK335" s="112"/>
      <c r="AL335" s="112"/>
      <c r="AM335" s="112"/>
    </row>
    <row r="336" spans="1:39" ht="15.75" hidden="1" customHeight="1" outlineLevel="1" x14ac:dyDescent="0.25">
      <c r="A336" s="104"/>
      <c r="B336" s="105" t="s">
        <v>67</v>
      </c>
      <c r="C336" s="113">
        <v>90</v>
      </c>
      <c r="D336" s="107">
        <f t="shared" ref="D336:AD336" si="240">-$C336*D337*D338</f>
        <v>-5940</v>
      </c>
      <c r="E336" s="107">
        <f t="shared" si="240"/>
        <v>-12420</v>
      </c>
      <c r="F336" s="107">
        <f t="shared" si="240"/>
        <v>-18360</v>
      </c>
      <c r="G336" s="107">
        <f t="shared" si="240"/>
        <v>-30780</v>
      </c>
      <c r="H336" s="107">
        <f t="shared" si="240"/>
        <v>-30780</v>
      </c>
      <c r="I336" s="107">
        <f t="shared" si="240"/>
        <v>-48600</v>
      </c>
      <c r="J336" s="107">
        <f t="shared" si="240"/>
        <v>-43200</v>
      </c>
      <c r="K336" s="107">
        <f t="shared" si="240"/>
        <v>-36720</v>
      </c>
      <c r="L336" s="107">
        <f t="shared" si="240"/>
        <v>-30780</v>
      </c>
      <c r="M336" s="107">
        <f t="shared" si="240"/>
        <v>-30780</v>
      </c>
      <c r="N336" s="107">
        <f t="shared" si="240"/>
        <v>-36720</v>
      </c>
      <c r="O336" s="107">
        <f t="shared" si="240"/>
        <v>-48600</v>
      </c>
      <c r="P336" s="107">
        <f t="shared" si="240"/>
        <v>-61020</v>
      </c>
      <c r="Q336" s="107">
        <f t="shared" si="240"/>
        <v>-73440</v>
      </c>
      <c r="R336" s="107">
        <f t="shared" si="240"/>
        <v>-68417.999999999985</v>
      </c>
      <c r="S336" s="107">
        <f t="shared" si="240"/>
        <v>-64259.999999999993</v>
      </c>
      <c r="T336" s="107">
        <f t="shared" si="240"/>
        <v>-77111.999999999985</v>
      </c>
      <c r="U336" s="107">
        <f t="shared" si="240"/>
        <v>-85805.999999999985</v>
      </c>
      <c r="V336" s="107">
        <f t="shared" si="240"/>
        <v>-68417.999999999985</v>
      </c>
      <c r="W336" s="107">
        <f t="shared" si="240"/>
        <v>-59723.999999999993</v>
      </c>
      <c r="X336" s="107">
        <f t="shared" si="240"/>
        <v>-47249.999999999993</v>
      </c>
      <c r="Y336" s="107">
        <f t="shared" si="240"/>
        <v>-47249.999999999993</v>
      </c>
      <c r="Z336" s="107">
        <f t="shared" si="240"/>
        <v>-44064</v>
      </c>
      <c r="AA336" s="107">
        <f t="shared" si="240"/>
        <v>-73548</v>
      </c>
      <c r="AB336" s="107">
        <f t="shared" si="240"/>
        <v>-80676</v>
      </c>
      <c r="AC336" s="107">
        <f t="shared" si="240"/>
        <v>-91692</v>
      </c>
      <c r="AD336" s="107">
        <f t="shared" si="240"/>
        <v>-110160</v>
      </c>
      <c r="AE336" s="10"/>
      <c r="AF336" s="10"/>
      <c r="AG336" s="10"/>
      <c r="AH336" s="10"/>
      <c r="AI336" s="10"/>
      <c r="AJ336" s="10"/>
      <c r="AK336" s="10"/>
      <c r="AL336" s="10"/>
      <c r="AM336" s="10"/>
    </row>
    <row r="337" spans="1:39" ht="15.75" hidden="1" customHeight="1" outlineLevel="1" x14ac:dyDescent="0.2">
      <c r="A337" s="114"/>
      <c r="B337" s="115" t="s">
        <v>68</v>
      </c>
      <c r="C337" s="116"/>
      <c r="D337" s="117">
        <v>1</v>
      </c>
      <c r="E337" s="117">
        <v>1</v>
      </c>
      <c r="F337" s="117">
        <v>1</v>
      </c>
      <c r="G337" s="117">
        <v>1</v>
      </c>
      <c r="H337" s="117">
        <v>1</v>
      </c>
      <c r="I337" s="117">
        <v>1</v>
      </c>
      <c r="J337" s="117">
        <v>1</v>
      </c>
      <c r="K337" s="117">
        <v>1</v>
      </c>
      <c r="L337" s="117">
        <v>1</v>
      </c>
      <c r="M337" s="117">
        <v>1</v>
      </c>
      <c r="N337" s="117">
        <v>1</v>
      </c>
      <c r="O337" s="117">
        <v>1</v>
      </c>
      <c r="P337" s="117">
        <v>1</v>
      </c>
      <c r="Q337" s="117">
        <v>1</v>
      </c>
      <c r="R337" s="117">
        <v>0.7</v>
      </c>
      <c r="S337" s="117">
        <v>0.7</v>
      </c>
      <c r="T337" s="117">
        <v>0.7</v>
      </c>
      <c r="U337" s="117">
        <v>0.7</v>
      </c>
      <c r="V337" s="117">
        <v>0.7</v>
      </c>
      <c r="W337" s="117">
        <v>0.7</v>
      </c>
      <c r="X337" s="117">
        <v>0.7</v>
      </c>
      <c r="Y337" s="117">
        <v>0.7</v>
      </c>
      <c r="Z337" s="117">
        <v>0.6</v>
      </c>
      <c r="AA337" s="117">
        <v>0.6</v>
      </c>
      <c r="AB337" s="117">
        <v>0.6</v>
      </c>
      <c r="AC337" s="117">
        <v>0.6</v>
      </c>
      <c r="AD337" s="117">
        <v>0.6</v>
      </c>
      <c r="AE337" s="118"/>
      <c r="AF337" s="118"/>
      <c r="AG337" s="118"/>
      <c r="AH337" s="118"/>
      <c r="AI337" s="118"/>
      <c r="AJ337" s="118"/>
      <c r="AK337" s="118"/>
      <c r="AL337" s="118"/>
      <c r="AM337" s="118"/>
    </row>
    <row r="338" spans="1:39" ht="15.75" hidden="1" customHeight="1" outlineLevel="1" x14ac:dyDescent="0.2">
      <c r="A338" s="114"/>
      <c r="B338" s="115" t="s">
        <v>69</v>
      </c>
      <c r="C338" s="116"/>
      <c r="D338" s="119">
        <f t="shared" ref="D338:AD338" si="241">D25+D37+D49+D61+D73+D85+D98+D108+D118+D128+D138+D148+D159+D169+D179+D189+D199+D209</f>
        <v>66</v>
      </c>
      <c r="E338" s="119">
        <f t="shared" si="241"/>
        <v>138</v>
      </c>
      <c r="F338" s="119">
        <f t="shared" si="241"/>
        <v>204</v>
      </c>
      <c r="G338" s="119">
        <f t="shared" si="241"/>
        <v>342</v>
      </c>
      <c r="H338" s="119">
        <f t="shared" si="241"/>
        <v>342</v>
      </c>
      <c r="I338" s="119">
        <f t="shared" si="241"/>
        <v>540</v>
      </c>
      <c r="J338" s="119">
        <f t="shared" si="241"/>
        <v>480</v>
      </c>
      <c r="K338" s="119">
        <f t="shared" si="241"/>
        <v>408</v>
      </c>
      <c r="L338" s="119">
        <f t="shared" si="241"/>
        <v>342</v>
      </c>
      <c r="M338" s="119">
        <f t="shared" si="241"/>
        <v>342</v>
      </c>
      <c r="N338" s="119">
        <f t="shared" si="241"/>
        <v>408</v>
      </c>
      <c r="O338" s="119">
        <f t="shared" si="241"/>
        <v>540</v>
      </c>
      <c r="P338" s="119">
        <f t="shared" si="241"/>
        <v>678</v>
      </c>
      <c r="Q338" s="119">
        <f t="shared" si="241"/>
        <v>816</v>
      </c>
      <c r="R338" s="119">
        <f t="shared" si="241"/>
        <v>1086</v>
      </c>
      <c r="S338" s="119">
        <f t="shared" si="241"/>
        <v>1020</v>
      </c>
      <c r="T338" s="119">
        <f t="shared" si="241"/>
        <v>1224</v>
      </c>
      <c r="U338" s="119">
        <f t="shared" si="241"/>
        <v>1362</v>
      </c>
      <c r="V338" s="119">
        <f t="shared" si="241"/>
        <v>1086</v>
      </c>
      <c r="W338" s="119">
        <f t="shared" si="241"/>
        <v>948</v>
      </c>
      <c r="X338" s="119">
        <f t="shared" si="241"/>
        <v>750</v>
      </c>
      <c r="Y338" s="119">
        <f t="shared" si="241"/>
        <v>750</v>
      </c>
      <c r="Z338" s="119">
        <f t="shared" si="241"/>
        <v>816</v>
      </c>
      <c r="AA338" s="119">
        <f t="shared" si="241"/>
        <v>1362</v>
      </c>
      <c r="AB338" s="119">
        <f t="shared" si="241"/>
        <v>1494</v>
      </c>
      <c r="AC338" s="119">
        <f t="shared" si="241"/>
        <v>1698</v>
      </c>
      <c r="AD338" s="119">
        <f t="shared" si="241"/>
        <v>2040</v>
      </c>
      <c r="AE338" s="118"/>
      <c r="AF338" s="118"/>
      <c r="AG338" s="118"/>
      <c r="AH338" s="118"/>
      <c r="AI338" s="118"/>
      <c r="AJ338" s="118"/>
      <c r="AK338" s="118"/>
      <c r="AL338" s="118"/>
      <c r="AM338" s="118"/>
    </row>
    <row r="339" spans="1:39" ht="15.75" hidden="1" customHeight="1" outlineLevel="1" x14ac:dyDescent="0.25">
      <c r="A339" s="120"/>
      <c r="B339" s="121"/>
      <c r="C339" s="113"/>
      <c r="D339" s="107">
        <f t="shared" ref="D339:AD339" si="242">-$C339</f>
        <v>0</v>
      </c>
      <c r="E339" s="107">
        <f t="shared" si="242"/>
        <v>0</v>
      </c>
      <c r="F339" s="107">
        <f t="shared" si="242"/>
        <v>0</v>
      </c>
      <c r="G339" s="107">
        <f t="shared" si="242"/>
        <v>0</v>
      </c>
      <c r="H339" s="107">
        <f t="shared" si="242"/>
        <v>0</v>
      </c>
      <c r="I339" s="107">
        <f t="shared" si="242"/>
        <v>0</v>
      </c>
      <c r="J339" s="107">
        <f t="shared" si="242"/>
        <v>0</v>
      </c>
      <c r="K339" s="107">
        <f t="shared" si="242"/>
        <v>0</v>
      </c>
      <c r="L339" s="107">
        <f t="shared" si="242"/>
        <v>0</v>
      </c>
      <c r="M339" s="107">
        <f t="shared" si="242"/>
        <v>0</v>
      </c>
      <c r="N339" s="107">
        <f t="shared" si="242"/>
        <v>0</v>
      </c>
      <c r="O339" s="107">
        <f t="shared" si="242"/>
        <v>0</v>
      </c>
      <c r="P339" s="107">
        <f t="shared" si="242"/>
        <v>0</v>
      </c>
      <c r="Q339" s="107">
        <f t="shared" si="242"/>
        <v>0</v>
      </c>
      <c r="R339" s="107">
        <f t="shared" si="242"/>
        <v>0</v>
      </c>
      <c r="S339" s="107">
        <f t="shared" si="242"/>
        <v>0</v>
      </c>
      <c r="T339" s="107">
        <f t="shared" si="242"/>
        <v>0</v>
      </c>
      <c r="U339" s="107">
        <f t="shared" si="242"/>
        <v>0</v>
      </c>
      <c r="V339" s="107">
        <f t="shared" si="242"/>
        <v>0</v>
      </c>
      <c r="W339" s="107">
        <f t="shared" si="242"/>
        <v>0</v>
      </c>
      <c r="X339" s="107">
        <f t="shared" si="242"/>
        <v>0</v>
      </c>
      <c r="Y339" s="107">
        <f t="shared" si="242"/>
        <v>0</v>
      </c>
      <c r="Z339" s="107">
        <f t="shared" si="242"/>
        <v>0</v>
      </c>
      <c r="AA339" s="107">
        <f t="shared" si="242"/>
        <v>0</v>
      </c>
      <c r="AB339" s="107">
        <f t="shared" si="242"/>
        <v>0</v>
      </c>
      <c r="AC339" s="107">
        <f t="shared" si="242"/>
        <v>0</v>
      </c>
      <c r="AD339" s="107">
        <f t="shared" si="242"/>
        <v>0</v>
      </c>
      <c r="AE339" s="10"/>
      <c r="AF339" s="10"/>
      <c r="AG339" s="10"/>
      <c r="AH339" s="10"/>
      <c r="AI339" s="10"/>
      <c r="AJ339" s="10"/>
      <c r="AK339" s="10"/>
      <c r="AL339" s="10"/>
      <c r="AM339" s="10"/>
    </row>
    <row r="340" spans="1:39" ht="15.75" hidden="1" customHeight="1" outlineLevel="1" x14ac:dyDescent="0.25">
      <c r="A340" s="18"/>
      <c r="B340" s="121"/>
      <c r="C340" s="113"/>
      <c r="D340" s="107">
        <f t="shared" ref="D340:AD340" si="243">-$C340</f>
        <v>0</v>
      </c>
      <c r="E340" s="107">
        <f t="shared" si="243"/>
        <v>0</v>
      </c>
      <c r="F340" s="107">
        <f t="shared" si="243"/>
        <v>0</v>
      </c>
      <c r="G340" s="107">
        <f t="shared" si="243"/>
        <v>0</v>
      </c>
      <c r="H340" s="107">
        <f t="shared" si="243"/>
        <v>0</v>
      </c>
      <c r="I340" s="107">
        <f t="shared" si="243"/>
        <v>0</v>
      </c>
      <c r="J340" s="107">
        <f t="shared" si="243"/>
        <v>0</v>
      </c>
      <c r="K340" s="107">
        <f t="shared" si="243"/>
        <v>0</v>
      </c>
      <c r="L340" s="107">
        <f t="shared" si="243"/>
        <v>0</v>
      </c>
      <c r="M340" s="107">
        <f t="shared" si="243"/>
        <v>0</v>
      </c>
      <c r="N340" s="107">
        <f t="shared" si="243"/>
        <v>0</v>
      </c>
      <c r="O340" s="107">
        <f t="shared" si="243"/>
        <v>0</v>
      </c>
      <c r="P340" s="107">
        <f t="shared" si="243"/>
        <v>0</v>
      </c>
      <c r="Q340" s="107">
        <f t="shared" si="243"/>
        <v>0</v>
      </c>
      <c r="R340" s="107">
        <f t="shared" si="243"/>
        <v>0</v>
      </c>
      <c r="S340" s="107">
        <f t="shared" si="243"/>
        <v>0</v>
      </c>
      <c r="T340" s="107">
        <f t="shared" si="243"/>
        <v>0</v>
      </c>
      <c r="U340" s="107">
        <f t="shared" si="243"/>
        <v>0</v>
      </c>
      <c r="V340" s="107">
        <f t="shared" si="243"/>
        <v>0</v>
      </c>
      <c r="W340" s="107">
        <f t="shared" si="243"/>
        <v>0</v>
      </c>
      <c r="X340" s="107">
        <f t="shared" si="243"/>
        <v>0</v>
      </c>
      <c r="Y340" s="107">
        <f t="shared" si="243"/>
        <v>0</v>
      </c>
      <c r="Z340" s="107">
        <f t="shared" si="243"/>
        <v>0</v>
      </c>
      <c r="AA340" s="107">
        <f t="shared" si="243"/>
        <v>0</v>
      </c>
      <c r="AB340" s="107">
        <f t="shared" si="243"/>
        <v>0</v>
      </c>
      <c r="AC340" s="107">
        <f t="shared" si="243"/>
        <v>0</v>
      </c>
      <c r="AD340" s="107">
        <f t="shared" si="243"/>
        <v>0</v>
      </c>
      <c r="AE340" s="10"/>
      <c r="AF340" s="10"/>
      <c r="AG340" s="10"/>
      <c r="AH340" s="10"/>
      <c r="AI340" s="10"/>
      <c r="AJ340" s="10"/>
      <c r="AK340" s="10"/>
      <c r="AL340" s="10"/>
      <c r="AM340" s="10"/>
    </row>
    <row r="341" spans="1:39" ht="15.75" hidden="1" customHeight="1" outlineLevel="1" x14ac:dyDescent="0.25">
      <c r="A341" s="18"/>
      <c r="B341" s="121"/>
      <c r="C341" s="113"/>
      <c r="D341" s="107">
        <f t="shared" ref="D341:AD341" si="244">-$C341</f>
        <v>0</v>
      </c>
      <c r="E341" s="107">
        <f t="shared" si="244"/>
        <v>0</v>
      </c>
      <c r="F341" s="107">
        <f t="shared" si="244"/>
        <v>0</v>
      </c>
      <c r="G341" s="107">
        <f t="shared" si="244"/>
        <v>0</v>
      </c>
      <c r="H341" s="107">
        <f t="shared" si="244"/>
        <v>0</v>
      </c>
      <c r="I341" s="107">
        <f t="shared" si="244"/>
        <v>0</v>
      </c>
      <c r="J341" s="107">
        <f t="shared" si="244"/>
        <v>0</v>
      </c>
      <c r="K341" s="107">
        <f t="shared" si="244"/>
        <v>0</v>
      </c>
      <c r="L341" s="107">
        <f t="shared" si="244"/>
        <v>0</v>
      </c>
      <c r="M341" s="107">
        <f t="shared" si="244"/>
        <v>0</v>
      </c>
      <c r="N341" s="107">
        <f t="shared" si="244"/>
        <v>0</v>
      </c>
      <c r="O341" s="107">
        <f t="shared" si="244"/>
        <v>0</v>
      </c>
      <c r="P341" s="107">
        <f t="shared" si="244"/>
        <v>0</v>
      </c>
      <c r="Q341" s="107">
        <f t="shared" si="244"/>
        <v>0</v>
      </c>
      <c r="R341" s="107">
        <f t="shared" si="244"/>
        <v>0</v>
      </c>
      <c r="S341" s="107">
        <f t="shared" si="244"/>
        <v>0</v>
      </c>
      <c r="T341" s="107">
        <f t="shared" si="244"/>
        <v>0</v>
      </c>
      <c r="U341" s="107">
        <f t="shared" si="244"/>
        <v>0</v>
      </c>
      <c r="V341" s="107">
        <f t="shared" si="244"/>
        <v>0</v>
      </c>
      <c r="W341" s="107">
        <f t="shared" si="244"/>
        <v>0</v>
      </c>
      <c r="X341" s="107">
        <f t="shared" si="244"/>
        <v>0</v>
      </c>
      <c r="Y341" s="107">
        <f t="shared" si="244"/>
        <v>0</v>
      </c>
      <c r="Z341" s="107">
        <f t="shared" si="244"/>
        <v>0</v>
      </c>
      <c r="AA341" s="107">
        <f t="shared" si="244"/>
        <v>0</v>
      </c>
      <c r="AB341" s="107">
        <f t="shared" si="244"/>
        <v>0</v>
      </c>
      <c r="AC341" s="107">
        <f t="shared" si="244"/>
        <v>0</v>
      </c>
      <c r="AD341" s="107">
        <f t="shared" si="244"/>
        <v>0</v>
      </c>
      <c r="AE341" s="10"/>
      <c r="AF341" s="10"/>
      <c r="AG341" s="10"/>
      <c r="AH341" s="10"/>
      <c r="AI341" s="10"/>
      <c r="AJ341" s="10"/>
      <c r="AK341" s="10"/>
      <c r="AL341" s="10"/>
      <c r="AM341" s="10"/>
    </row>
    <row r="342" spans="1:39" ht="15.75" hidden="1" customHeight="1" outlineLevel="1" x14ac:dyDescent="0.25">
      <c r="A342" s="18"/>
      <c r="B342" s="121"/>
      <c r="C342" s="113"/>
      <c r="D342" s="107">
        <f t="shared" ref="D342:AD342" si="245">-$C342</f>
        <v>0</v>
      </c>
      <c r="E342" s="107">
        <f t="shared" si="245"/>
        <v>0</v>
      </c>
      <c r="F342" s="107">
        <f t="shared" si="245"/>
        <v>0</v>
      </c>
      <c r="G342" s="107">
        <f t="shared" si="245"/>
        <v>0</v>
      </c>
      <c r="H342" s="107">
        <f t="shared" si="245"/>
        <v>0</v>
      </c>
      <c r="I342" s="107">
        <f t="shared" si="245"/>
        <v>0</v>
      </c>
      <c r="J342" s="107">
        <f t="shared" si="245"/>
        <v>0</v>
      </c>
      <c r="K342" s="107">
        <f t="shared" si="245"/>
        <v>0</v>
      </c>
      <c r="L342" s="107">
        <f t="shared" si="245"/>
        <v>0</v>
      </c>
      <c r="M342" s="107">
        <f t="shared" si="245"/>
        <v>0</v>
      </c>
      <c r="N342" s="107">
        <f t="shared" si="245"/>
        <v>0</v>
      </c>
      <c r="O342" s="107">
        <f t="shared" si="245"/>
        <v>0</v>
      </c>
      <c r="P342" s="107">
        <f t="shared" si="245"/>
        <v>0</v>
      </c>
      <c r="Q342" s="107">
        <f t="shared" si="245"/>
        <v>0</v>
      </c>
      <c r="R342" s="107">
        <f t="shared" si="245"/>
        <v>0</v>
      </c>
      <c r="S342" s="107">
        <f t="shared" si="245"/>
        <v>0</v>
      </c>
      <c r="T342" s="107">
        <f t="shared" si="245"/>
        <v>0</v>
      </c>
      <c r="U342" s="107">
        <f t="shared" si="245"/>
        <v>0</v>
      </c>
      <c r="V342" s="107">
        <f t="shared" si="245"/>
        <v>0</v>
      </c>
      <c r="W342" s="107">
        <f t="shared" si="245"/>
        <v>0</v>
      </c>
      <c r="X342" s="107">
        <f t="shared" si="245"/>
        <v>0</v>
      </c>
      <c r="Y342" s="107">
        <f t="shared" si="245"/>
        <v>0</v>
      </c>
      <c r="Z342" s="107">
        <f t="shared" si="245"/>
        <v>0</v>
      </c>
      <c r="AA342" s="107">
        <f t="shared" si="245"/>
        <v>0</v>
      </c>
      <c r="AB342" s="107">
        <f t="shared" si="245"/>
        <v>0</v>
      </c>
      <c r="AC342" s="107">
        <f t="shared" si="245"/>
        <v>0</v>
      </c>
      <c r="AD342" s="107">
        <f t="shared" si="245"/>
        <v>0</v>
      </c>
      <c r="AE342" s="10"/>
      <c r="AF342" s="10"/>
      <c r="AG342" s="10"/>
      <c r="AH342" s="10"/>
      <c r="AI342" s="10"/>
      <c r="AJ342" s="10"/>
      <c r="AK342" s="10"/>
      <c r="AL342" s="10"/>
      <c r="AM342" s="10"/>
    </row>
    <row r="343" spans="1:39" ht="15.75" hidden="1" customHeight="1" outlineLevel="1" x14ac:dyDescent="0.25">
      <c r="A343" s="18"/>
      <c r="B343" s="121"/>
      <c r="C343" s="113"/>
      <c r="D343" s="107">
        <f t="shared" ref="D343:AD343" si="246">-$C343</f>
        <v>0</v>
      </c>
      <c r="E343" s="107">
        <f t="shared" si="246"/>
        <v>0</v>
      </c>
      <c r="F343" s="107">
        <f t="shared" si="246"/>
        <v>0</v>
      </c>
      <c r="G343" s="107">
        <f t="shared" si="246"/>
        <v>0</v>
      </c>
      <c r="H343" s="107">
        <f t="shared" si="246"/>
        <v>0</v>
      </c>
      <c r="I343" s="107">
        <f t="shared" si="246"/>
        <v>0</v>
      </c>
      <c r="J343" s="107">
        <f t="shared" si="246"/>
        <v>0</v>
      </c>
      <c r="K343" s="107">
        <f t="shared" si="246"/>
        <v>0</v>
      </c>
      <c r="L343" s="107">
        <f t="shared" si="246"/>
        <v>0</v>
      </c>
      <c r="M343" s="107">
        <f t="shared" si="246"/>
        <v>0</v>
      </c>
      <c r="N343" s="107">
        <f t="shared" si="246"/>
        <v>0</v>
      </c>
      <c r="O343" s="107">
        <f t="shared" si="246"/>
        <v>0</v>
      </c>
      <c r="P343" s="107">
        <f t="shared" si="246"/>
        <v>0</v>
      </c>
      <c r="Q343" s="107">
        <f t="shared" si="246"/>
        <v>0</v>
      </c>
      <c r="R343" s="107">
        <f t="shared" si="246"/>
        <v>0</v>
      </c>
      <c r="S343" s="107">
        <f t="shared" si="246"/>
        <v>0</v>
      </c>
      <c r="T343" s="107">
        <f t="shared" si="246"/>
        <v>0</v>
      </c>
      <c r="U343" s="107">
        <f t="shared" si="246"/>
        <v>0</v>
      </c>
      <c r="V343" s="107">
        <f t="shared" si="246"/>
        <v>0</v>
      </c>
      <c r="W343" s="107">
        <f t="shared" si="246"/>
        <v>0</v>
      </c>
      <c r="X343" s="107">
        <f t="shared" si="246"/>
        <v>0</v>
      </c>
      <c r="Y343" s="107">
        <f t="shared" si="246"/>
        <v>0</v>
      </c>
      <c r="Z343" s="107">
        <f t="shared" si="246"/>
        <v>0</v>
      </c>
      <c r="AA343" s="107">
        <f t="shared" si="246"/>
        <v>0</v>
      </c>
      <c r="AB343" s="107">
        <f t="shared" si="246"/>
        <v>0</v>
      </c>
      <c r="AC343" s="107">
        <f t="shared" si="246"/>
        <v>0</v>
      </c>
      <c r="AD343" s="107">
        <f t="shared" si="246"/>
        <v>0</v>
      </c>
      <c r="AE343" s="10"/>
      <c r="AF343" s="10"/>
      <c r="AG343" s="10"/>
      <c r="AH343" s="10"/>
      <c r="AI343" s="10"/>
      <c r="AJ343" s="10"/>
      <c r="AK343" s="10"/>
      <c r="AL343" s="10"/>
      <c r="AM343" s="10"/>
    </row>
    <row r="344" spans="1:39" ht="15.75" hidden="1" customHeight="1" outlineLevel="1" x14ac:dyDescent="0.25">
      <c r="A344" s="18"/>
      <c r="B344" s="121"/>
      <c r="C344" s="113"/>
      <c r="D344" s="107">
        <f t="shared" ref="D344:AD344" si="247">-$C344</f>
        <v>0</v>
      </c>
      <c r="E344" s="107">
        <f t="shared" si="247"/>
        <v>0</v>
      </c>
      <c r="F344" s="107">
        <f t="shared" si="247"/>
        <v>0</v>
      </c>
      <c r="G344" s="107">
        <f t="shared" si="247"/>
        <v>0</v>
      </c>
      <c r="H344" s="107">
        <f t="shared" si="247"/>
        <v>0</v>
      </c>
      <c r="I344" s="107">
        <f t="shared" si="247"/>
        <v>0</v>
      </c>
      <c r="J344" s="107">
        <f t="shared" si="247"/>
        <v>0</v>
      </c>
      <c r="K344" s="107">
        <f t="shared" si="247"/>
        <v>0</v>
      </c>
      <c r="L344" s="107">
        <f t="shared" si="247"/>
        <v>0</v>
      </c>
      <c r="M344" s="107">
        <f t="shared" si="247"/>
        <v>0</v>
      </c>
      <c r="N344" s="107">
        <f t="shared" si="247"/>
        <v>0</v>
      </c>
      <c r="O344" s="107">
        <f t="shared" si="247"/>
        <v>0</v>
      </c>
      <c r="P344" s="107">
        <f t="shared" si="247"/>
        <v>0</v>
      </c>
      <c r="Q344" s="107">
        <f t="shared" si="247"/>
        <v>0</v>
      </c>
      <c r="R344" s="107">
        <f t="shared" si="247"/>
        <v>0</v>
      </c>
      <c r="S344" s="107">
        <f t="shared" si="247"/>
        <v>0</v>
      </c>
      <c r="T344" s="107">
        <f t="shared" si="247"/>
        <v>0</v>
      </c>
      <c r="U344" s="107">
        <f t="shared" si="247"/>
        <v>0</v>
      </c>
      <c r="V344" s="107">
        <f t="shared" si="247"/>
        <v>0</v>
      </c>
      <c r="W344" s="107">
        <f t="shared" si="247"/>
        <v>0</v>
      </c>
      <c r="X344" s="107">
        <f t="shared" si="247"/>
        <v>0</v>
      </c>
      <c r="Y344" s="107">
        <f t="shared" si="247"/>
        <v>0</v>
      </c>
      <c r="Z344" s="107">
        <f t="shared" si="247"/>
        <v>0</v>
      </c>
      <c r="AA344" s="107">
        <f t="shared" si="247"/>
        <v>0</v>
      </c>
      <c r="AB344" s="107">
        <f t="shared" si="247"/>
        <v>0</v>
      </c>
      <c r="AC344" s="107">
        <f t="shared" si="247"/>
        <v>0</v>
      </c>
      <c r="AD344" s="107">
        <f t="shared" si="247"/>
        <v>0</v>
      </c>
      <c r="AE344" s="10"/>
      <c r="AF344" s="10"/>
      <c r="AG344" s="10"/>
      <c r="AH344" s="10"/>
      <c r="AI344" s="10"/>
      <c r="AJ344" s="10"/>
      <c r="AK344" s="10"/>
      <c r="AL344" s="10"/>
      <c r="AM344" s="10"/>
    </row>
    <row r="345" spans="1:39" ht="15.75" customHeight="1" x14ac:dyDescent="0.2">
      <c r="A345" s="18"/>
      <c r="B345" s="122"/>
      <c r="C345" s="123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10"/>
      <c r="AF345" s="10"/>
      <c r="AG345" s="10"/>
      <c r="AH345" s="10"/>
      <c r="AI345" s="10"/>
      <c r="AJ345" s="10"/>
      <c r="AK345" s="10"/>
      <c r="AL345" s="10"/>
      <c r="AM345" s="10"/>
    </row>
    <row r="346" spans="1:39" ht="15.75" customHeight="1" collapsed="1" x14ac:dyDescent="0.2">
      <c r="A346" s="16"/>
      <c r="B346" s="103" t="s">
        <v>70</v>
      </c>
      <c r="C346" s="76"/>
      <c r="D346" s="77">
        <f t="shared" ref="D346:AD346" si="248">SUM(D347:D349)</f>
        <v>0</v>
      </c>
      <c r="E346" s="77">
        <f t="shared" si="248"/>
        <v>0</v>
      </c>
      <c r="F346" s="77">
        <f t="shared" si="248"/>
        <v>0</v>
      </c>
      <c r="G346" s="77">
        <f t="shared" si="248"/>
        <v>0</v>
      </c>
      <c r="H346" s="77">
        <f t="shared" si="248"/>
        <v>0</v>
      </c>
      <c r="I346" s="77">
        <f t="shared" si="248"/>
        <v>0</v>
      </c>
      <c r="J346" s="77">
        <f t="shared" si="248"/>
        <v>0</v>
      </c>
      <c r="K346" s="77">
        <f t="shared" si="248"/>
        <v>0</v>
      </c>
      <c r="L346" s="77">
        <f t="shared" si="248"/>
        <v>0</v>
      </c>
      <c r="M346" s="77">
        <f t="shared" si="248"/>
        <v>0</v>
      </c>
      <c r="N346" s="77">
        <f t="shared" si="248"/>
        <v>0</v>
      </c>
      <c r="O346" s="77">
        <f t="shared" si="248"/>
        <v>0</v>
      </c>
      <c r="P346" s="77">
        <f t="shared" si="248"/>
        <v>0</v>
      </c>
      <c r="Q346" s="77">
        <f t="shared" si="248"/>
        <v>0</v>
      </c>
      <c r="R346" s="77">
        <f t="shared" si="248"/>
        <v>0</v>
      </c>
      <c r="S346" s="77">
        <f t="shared" si="248"/>
        <v>0</v>
      </c>
      <c r="T346" s="77">
        <f t="shared" si="248"/>
        <v>0</v>
      </c>
      <c r="U346" s="77">
        <f t="shared" si="248"/>
        <v>0</v>
      </c>
      <c r="V346" s="77">
        <f t="shared" si="248"/>
        <v>0</v>
      </c>
      <c r="W346" s="77">
        <f t="shared" si="248"/>
        <v>0</v>
      </c>
      <c r="X346" s="77">
        <f t="shared" si="248"/>
        <v>0</v>
      </c>
      <c r="Y346" s="77">
        <f t="shared" si="248"/>
        <v>0</v>
      </c>
      <c r="Z346" s="77">
        <f t="shared" si="248"/>
        <v>0</v>
      </c>
      <c r="AA346" s="77">
        <f t="shared" si="248"/>
        <v>0</v>
      </c>
      <c r="AB346" s="77">
        <f t="shared" si="248"/>
        <v>0</v>
      </c>
      <c r="AC346" s="77">
        <f t="shared" si="248"/>
        <v>0</v>
      </c>
      <c r="AD346" s="77">
        <f t="shared" si="248"/>
        <v>0</v>
      </c>
      <c r="AE346" s="10"/>
      <c r="AF346" s="10"/>
      <c r="AG346" s="10"/>
      <c r="AH346" s="10"/>
      <c r="AI346" s="10"/>
      <c r="AJ346" s="10"/>
      <c r="AK346" s="10"/>
      <c r="AL346" s="10"/>
      <c r="AM346" s="10"/>
    </row>
    <row r="347" spans="1:39" ht="15.75" hidden="1" customHeight="1" outlineLevel="1" x14ac:dyDescent="0.25">
      <c r="A347" s="16"/>
      <c r="B347" s="124" t="s">
        <v>71</v>
      </c>
      <c r="C347" s="125">
        <v>0</v>
      </c>
      <c r="D347" s="51">
        <f t="shared" ref="D347:AD347" si="249">-$C347</f>
        <v>0</v>
      </c>
      <c r="E347" s="51">
        <f t="shared" si="249"/>
        <v>0</v>
      </c>
      <c r="F347" s="51">
        <f t="shared" si="249"/>
        <v>0</v>
      </c>
      <c r="G347" s="51">
        <f t="shared" si="249"/>
        <v>0</v>
      </c>
      <c r="H347" s="51">
        <f t="shared" si="249"/>
        <v>0</v>
      </c>
      <c r="I347" s="51">
        <f t="shared" si="249"/>
        <v>0</v>
      </c>
      <c r="J347" s="51">
        <f t="shared" si="249"/>
        <v>0</v>
      </c>
      <c r="K347" s="51">
        <f t="shared" si="249"/>
        <v>0</v>
      </c>
      <c r="L347" s="51">
        <f t="shared" si="249"/>
        <v>0</v>
      </c>
      <c r="M347" s="51">
        <f t="shared" si="249"/>
        <v>0</v>
      </c>
      <c r="N347" s="51">
        <f t="shared" si="249"/>
        <v>0</v>
      </c>
      <c r="O347" s="51">
        <f t="shared" si="249"/>
        <v>0</v>
      </c>
      <c r="P347" s="51">
        <f t="shared" si="249"/>
        <v>0</v>
      </c>
      <c r="Q347" s="51">
        <f t="shared" si="249"/>
        <v>0</v>
      </c>
      <c r="R347" s="51">
        <f t="shared" si="249"/>
        <v>0</v>
      </c>
      <c r="S347" s="51">
        <f t="shared" si="249"/>
        <v>0</v>
      </c>
      <c r="T347" s="51">
        <f t="shared" si="249"/>
        <v>0</v>
      </c>
      <c r="U347" s="51">
        <f t="shared" si="249"/>
        <v>0</v>
      </c>
      <c r="V347" s="51">
        <f t="shared" si="249"/>
        <v>0</v>
      </c>
      <c r="W347" s="51">
        <f t="shared" si="249"/>
        <v>0</v>
      </c>
      <c r="X347" s="51">
        <f t="shared" si="249"/>
        <v>0</v>
      </c>
      <c r="Y347" s="51">
        <f t="shared" si="249"/>
        <v>0</v>
      </c>
      <c r="Z347" s="51">
        <f t="shared" si="249"/>
        <v>0</v>
      </c>
      <c r="AA347" s="51">
        <f t="shared" si="249"/>
        <v>0</v>
      </c>
      <c r="AB347" s="51">
        <f t="shared" si="249"/>
        <v>0</v>
      </c>
      <c r="AC347" s="51">
        <f t="shared" si="249"/>
        <v>0</v>
      </c>
      <c r="AD347" s="51">
        <f t="shared" si="249"/>
        <v>0</v>
      </c>
      <c r="AE347" s="10"/>
      <c r="AF347" s="10"/>
      <c r="AG347" s="10"/>
      <c r="AH347" s="10"/>
      <c r="AI347" s="10"/>
      <c r="AJ347" s="10"/>
      <c r="AK347" s="10"/>
      <c r="AL347" s="10"/>
      <c r="AM347" s="10"/>
    </row>
    <row r="348" spans="1:39" ht="15.75" hidden="1" customHeight="1" outlineLevel="1" x14ac:dyDescent="0.25">
      <c r="A348" s="16"/>
      <c r="B348" s="121"/>
      <c r="C348" s="125"/>
      <c r="D348" s="51">
        <f t="shared" ref="D348:AD348" si="250">-$C348</f>
        <v>0</v>
      </c>
      <c r="E348" s="51">
        <f t="shared" si="250"/>
        <v>0</v>
      </c>
      <c r="F348" s="51">
        <f t="shared" si="250"/>
        <v>0</v>
      </c>
      <c r="G348" s="51">
        <f t="shared" si="250"/>
        <v>0</v>
      </c>
      <c r="H348" s="51">
        <f t="shared" si="250"/>
        <v>0</v>
      </c>
      <c r="I348" s="51">
        <f t="shared" si="250"/>
        <v>0</v>
      </c>
      <c r="J348" s="51">
        <f t="shared" si="250"/>
        <v>0</v>
      </c>
      <c r="K348" s="51">
        <f t="shared" si="250"/>
        <v>0</v>
      </c>
      <c r="L348" s="51">
        <f t="shared" si="250"/>
        <v>0</v>
      </c>
      <c r="M348" s="51">
        <f t="shared" si="250"/>
        <v>0</v>
      </c>
      <c r="N348" s="51">
        <f t="shared" si="250"/>
        <v>0</v>
      </c>
      <c r="O348" s="51">
        <f t="shared" si="250"/>
        <v>0</v>
      </c>
      <c r="P348" s="51">
        <f t="shared" si="250"/>
        <v>0</v>
      </c>
      <c r="Q348" s="51">
        <f t="shared" si="250"/>
        <v>0</v>
      </c>
      <c r="R348" s="51">
        <f t="shared" si="250"/>
        <v>0</v>
      </c>
      <c r="S348" s="51">
        <f t="shared" si="250"/>
        <v>0</v>
      </c>
      <c r="T348" s="51">
        <f t="shared" si="250"/>
        <v>0</v>
      </c>
      <c r="U348" s="51">
        <f t="shared" si="250"/>
        <v>0</v>
      </c>
      <c r="V348" s="51">
        <f t="shared" si="250"/>
        <v>0</v>
      </c>
      <c r="W348" s="51">
        <f t="shared" si="250"/>
        <v>0</v>
      </c>
      <c r="X348" s="51">
        <f t="shared" si="250"/>
        <v>0</v>
      </c>
      <c r="Y348" s="51">
        <f t="shared" si="250"/>
        <v>0</v>
      </c>
      <c r="Z348" s="51">
        <f t="shared" si="250"/>
        <v>0</v>
      </c>
      <c r="AA348" s="51">
        <f t="shared" si="250"/>
        <v>0</v>
      </c>
      <c r="AB348" s="51">
        <f t="shared" si="250"/>
        <v>0</v>
      </c>
      <c r="AC348" s="51">
        <f t="shared" si="250"/>
        <v>0</v>
      </c>
      <c r="AD348" s="51">
        <f t="shared" si="250"/>
        <v>0</v>
      </c>
      <c r="AE348" s="10"/>
      <c r="AF348" s="10"/>
      <c r="AG348" s="10"/>
      <c r="AH348" s="10"/>
      <c r="AI348" s="10"/>
      <c r="AJ348" s="10"/>
      <c r="AK348" s="10"/>
      <c r="AL348" s="10"/>
      <c r="AM348" s="10"/>
    </row>
    <row r="349" spans="1:39" ht="15.75" hidden="1" customHeight="1" outlineLevel="1" x14ac:dyDescent="0.25">
      <c r="A349" s="120"/>
      <c r="B349" s="126"/>
      <c r="C349" s="125"/>
      <c r="D349" s="51">
        <f t="shared" ref="D349:AD349" si="251">-$C349</f>
        <v>0</v>
      </c>
      <c r="E349" s="51">
        <f t="shared" si="251"/>
        <v>0</v>
      </c>
      <c r="F349" s="51">
        <f t="shared" si="251"/>
        <v>0</v>
      </c>
      <c r="G349" s="51">
        <f t="shared" si="251"/>
        <v>0</v>
      </c>
      <c r="H349" s="51">
        <f t="shared" si="251"/>
        <v>0</v>
      </c>
      <c r="I349" s="51">
        <f t="shared" si="251"/>
        <v>0</v>
      </c>
      <c r="J349" s="51">
        <f t="shared" si="251"/>
        <v>0</v>
      </c>
      <c r="K349" s="51">
        <f t="shared" si="251"/>
        <v>0</v>
      </c>
      <c r="L349" s="51">
        <f t="shared" si="251"/>
        <v>0</v>
      </c>
      <c r="M349" s="51">
        <f t="shared" si="251"/>
        <v>0</v>
      </c>
      <c r="N349" s="51">
        <f t="shared" si="251"/>
        <v>0</v>
      </c>
      <c r="O349" s="51">
        <f t="shared" si="251"/>
        <v>0</v>
      </c>
      <c r="P349" s="51">
        <f t="shared" si="251"/>
        <v>0</v>
      </c>
      <c r="Q349" s="51">
        <f t="shared" si="251"/>
        <v>0</v>
      </c>
      <c r="R349" s="51">
        <f t="shared" si="251"/>
        <v>0</v>
      </c>
      <c r="S349" s="51">
        <f t="shared" si="251"/>
        <v>0</v>
      </c>
      <c r="T349" s="51">
        <f t="shared" si="251"/>
        <v>0</v>
      </c>
      <c r="U349" s="51">
        <f t="shared" si="251"/>
        <v>0</v>
      </c>
      <c r="V349" s="51">
        <f t="shared" si="251"/>
        <v>0</v>
      </c>
      <c r="W349" s="51">
        <f t="shared" si="251"/>
        <v>0</v>
      </c>
      <c r="X349" s="51">
        <f t="shared" si="251"/>
        <v>0</v>
      </c>
      <c r="Y349" s="51">
        <f t="shared" si="251"/>
        <v>0</v>
      </c>
      <c r="Z349" s="51">
        <f t="shared" si="251"/>
        <v>0</v>
      </c>
      <c r="AA349" s="51">
        <f t="shared" si="251"/>
        <v>0</v>
      </c>
      <c r="AB349" s="51">
        <f t="shared" si="251"/>
        <v>0</v>
      </c>
      <c r="AC349" s="51">
        <f t="shared" si="251"/>
        <v>0</v>
      </c>
      <c r="AD349" s="51">
        <f t="shared" si="251"/>
        <v>0</v>
      </c>
      <c r="AE349" s="10"/>
      <c r="AF349" s="10"/>
      <c r="AG349" s="10"/>
      <c r="AH349" s="10"/>
      <c r="AI349" s="10"/>
      <c r="AJ349" s="10"/>
      <c r="AK349" s="10"/>
      <c r="AL349" s="10"/>
      <c r="AM349" s="10"/>
    </row>
    <row r="350" spans="1:39" ht="18" customHeight="1" x14ac:dyDescent="0.2">
      <c r="A350" s="120"/>
      <c r="B350" s="127"/>
      <c r="C350" s="127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10"/>
      <c r="AF350" s="10"/>
      <c r="AG350" s="10"/>
      <c r="AH350" s="10"/>
      <c r="AI350" s="10"/>
      <c r="AJ350" s="10"/>
      <c r="AK350" s="10"/>
      <c r="AL350" s="10"/>
      <c r="AM350" s="10"/>
    </row>
    <row r="351" spans="1:39" ht="16.5" customHeight="1" x14ac:dyDescent="0.2">
      <c r="A351" s="18"/>
      <c r="B351" s="128" t="s">
        <v>72</v>
      </c>
      <c r="C351" s="129"/>
      <c r="D351" s="130">
        <f t="shared" ref="D351:AD351" si="252">D325+D333+D346</f>
        <v>85368.299999999988</v>
      </c>
      <c r="E351" s="130">
        <f t="shared" si="252"/>
        <v>179369.1</v>
      </c>
      <c r="F351" s="130">
        <f t="shared" si="252"/>
        <v>282904.94999999995</v>
      </c>
      <c r="G351" s="130">
        <f t="shared" si="252"/>
        <v>478349.72499999998</v>
      </c>
      <c r="H351" s="130">
        <f t="shared" si="252"/>
        <v>497456.81299999997</v>
      </c>
      <c r="I351" s="130">
        <f t="shared" si="252"/>
        <v>791341.58650000009</v>
      </c>
      <c r="J351" s="130">
        <f t="shared" si="252"/>
        <v>714420.94586000021</v>
      </c>
      <c r="K351" s="130">
        <f t="shared" si="252"/>
        <v>671400.24502999999</v>
      </c>
      <c r="L351" s="130">
        <f t="shared" si="252"/>
        <v>573177.57808919996</v>
      </c>
      <c r="M351" s="130">
        <f t="shared" si="252"/>
        <v>568317.52490660013</v>
      </c>
      <c r="N351" s="130">
        <f t="shared" si="252"/>
        <v>637078.7141796241</v>
      </c>
      <c r="O351" s="130">
        <f t="shared" si="252"/>
        <v>811134.50247945194</v>
      </c>
      <c r="P351" s="130">
        <f t="shared" si="252"/>
        <v>1000629.1881195172</v>
      </c>
      <c r="Q351" s="130">
        <f t="shared" si="252"/>
        <v>1209617.8865454793</v>
      </c>
      <c r="R351" s="130">
        <f t="shared" si="252"/>
        <v>1625516.4403862937</v>
      </c>
      <c r="S351" s="130">
        <f t="shared" si="252"/>
        <v>1574737.2770400054</v>
      </c>
      <c r="T351" s="130">
        <f t="shared" si="252"/>
        <v>1916138.8668849845</v>
      </c>
      <c r="U351" s="130">
        <f t="shared" si="252"/>
        <v>2093456.466948801</v>
      </c>
      <c r="V351" s="130">
        <f t="shared" si="252"/>
        <v>1783497.2807146965</v>
      </c>
      <c r="W351" s="130">
        <f t="shared" si="252"/>
        <v>1628985.9557287362</v>
      </c>
      <c r="X351" s="130">
        <f t="shared" si="252"/>
        <v>1314476.7517572332</v>
      </c>
      <c r="Y351" s="130">
        <f t="shared" si="252"/>
        <v>1290910.3572603222</v>
      </c>
      <c r="Z351" s="130">
        <f t="shared" si="252"/>
        <v>1331063.3033865914</v>
      </c>
      <c r="AA351" s="130">
        <f t="shared" si="252"/>
        <v>2063155.3965972709</v>
      </c>
      <c r="AB351" s="130">
        <f t="shared" si="252"/>
        <v>2240468.0487450501</v>
      </c>
      <c r="AC351" s="130">
        <f t="shared" si="252"/>
        <v>2637513.0602513994</v>
      </c>
      <c r="AD351" s="130">
        <f t="shared" si="252"/>
        <v>3126279.551723911</v>
      </c>
      <c r="AE351" s="10"/>
      <c r="AF351" s="10"/>
      <c r="AG351" s="10"/>
      <c r="AH351" s="10"/>
      <c r="AI351" s="10"/>
      <c r="AJ351" s="10"/>
      <c r="AK351" s="10"/>
      <c r="AL351" s="10"/>
      <c r="AM351" s="10"/>
    </row>
    <row r="352" spans="1:39" ht="15.75" customHeight="1" x14ac:dyDescent="0.2">
      <c r="A352" s="131"/>
      <c r="B352" s="132" t="s">
        <v>73</v>
      </c>
      <c r="C352" s="133"/>
      <c r="D352" s="98">
        <f t="shared" ref="D352:AD352" si="253">IFERROR(D351/D15,0)</f>
        <v>0.49243366405168432</v>
      </c>
      <c r="E352" s="98">
        <f t="shared" si="253"/>
        <v>0.49483861178547783</v>
      </c>
      <c r="F352" s="98">
        <f t="shared" si="253"/>
        <v>0.51080793993624851</v>
      </c>
      <c r="G352" s="98">
        <f t="shared" si="253"/>
        <v>0.51033981492476232</v>
      </c>
      <c r="H352" s="98">
        <f t="shared" si="253"/>
        <v>0.51695984482184754</v>
      </c>
      <c r="I352" s="98">
        <f t="shared" si="253"/>
        <v>0.51858292075588253</v>
      </c>
      <c r="J352" s="98">
        <f t="shared" si="253"/>
        <v>0.52001004582961596</v>
      </c>
      <c r="K352" s="98">
        <f t="shared" si="253"/>
        <v>0.53654946482133548</v>
      </c>
      <c r="L352" s="98">
        <f t="shared" si="253"/>
        <v>0.54013260228966087</v>
      </c>
      <c r="M352" s="98">
        <f t="shared" si="253"/>
        <v>0.53877579133166609</v>
      </c>
      <c r="N352" s="98">
        <f t="shared" si="253"/>
        <v>0.5280390851602309</v>
      </c>
      <c r="O352" s="98">
        <f t="shared" si="253"/>
        <v>0.5226979675871013</v>
      </c>
      <c r="P352" s="98">
        <f t="shared" si="253"/>
        <v>0.51912549148158926</v>
      </c>
      <c r="Q352" s="98">
        <f t="shared" si="253"/>
        <v>0.51943971110983034</v>
      </c>
      <c r="R352" s="98">
        <f t="shared" si="253"/>
        <v>0.5277988068794065</v>
      </c>
      <c r="S352" s="98">
        <f t="shared" si="253"/>
        <v>0.53309529265566724</v>
      </c>
      <c r="T352" s="98">
        <f t="shared" si="253"/>
        <v>0.5356828727416838</v>
      </c>
      <c r="U352" s="98">
        <f t="shared" si="253"/>
        <v>0.53242387053949081</v>
      </c>
      <c r="V352" s="98">
        <f t="shared" si="253"/>
        <v>0.54273050788160482</v>
      </c>
      <c r="W352" s="98">
        <f t="shared" si="253"/>
        <v>0.5501449711339812</v>
      </c>
      <c r="X352" s="98">
        <f t="shared" si="253"/>
        <v>0.55291447606474309</v>
      </c>
      <c r="Y352" s="98">
        <f t="shared" si="253"/>
        <v>0.55012468348037269</v>
      </c>
      <c r="Z352" s="98">
        <f t="shared" si="253"/>
        <v>0.54352239700410387</v>
      </c>
      <c r="AA352" s="98">
        <f t="shared" si="253"/>
        <v>0.53224238930297618</v>
      </c>
      <c r="AB352" s="98">
        <f t="shared" si="253"/>
        <v>0.53023206317910665</v>
      </c>
      <c r="AC352" s="98">
        <f t="shared" si="253"/>
        <v>0.53621260155762829</v>
      </c>
      <c r="AD352" s="98">
        <f t="shared" si="253"/>
        <v>0.53407601037979424</v>
      </c>
      <c r="AE352" s="10"/>
      <c r="AF352" s="10"/>
      <c r="AG352" s="10"/>
      <c r="AH352" s="10"/>
      <c r="AI352" s="10"/>
      <c r="AJ352" s="10"/>
      <c r="AK352" s="10"/>
      <c r="AL352" s="10"/>
      <c r="AM352" s="10"/>
    </row>
    <row r="353" spans="1:39" ht="7.5" customHeight="1" x14ac:dyDescent="0.2">
      <c r="A353" s="120"/>
      <c r="B353" s="127"/>
      <c r="C353" s="127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10"/>
      <c r="AF353" s="10"/>
      <c r="AG353" s="10"/>
      <c r="AH353" s="10"/>
      <c r="AI353" s="10"/>
      <c r="AJ353" s="10"/>
      <c r="AK353" s="10"/>
      <c r="AL353" s="10"/>
      <c r="AM353" s="10"/>
    </row>
    <row r="354" spans="1:39" ht="15.75" customHeight="1" x14ac:dyDescent="0.2">
      <c r="A354" s="18"/>
      <c r="B354" s="103" t="s">
        <v>74</v>
      </c>
      <c r="C354" s="103"/>
      <c r="D354" s="77">
        <f t="shared" ref="D354:AD354" si="254">D356+D362</f>
        <v>-134200</v>
      </c>
      <c r="E354" s="77">
        <f t="shared" si="254"/>
        <v>-159200</v>
      </c>
      <c r="F354" s="77">
        <f t="shared" si="254"/>
        <v>-159200</v>
      </c>
      <c r="G354" s="77">
        <f t="shared" si="254"/>
        <v>-159200</v>
      </c>
      <c r="H354" s="77">
        <f t="shared" si="254"/>
        <v>-159200</v>
      </c>
      <c r="I354" s="77">
        <f t="shared" si="254"/>
        <v>-159200</v>
      </c>
      <c r="J354" s="77">
        <f t="shared" si="254"/>
        <v>-159200</v>
      </c>
      <c r="K354" s="77">
        <f t="shared" si="254"/>
        <v>-159200</v>
      </c>
      <c r="L354" s="77">
        <f t="shared" si="254"/>
        <v>-159200</v>
      </c>
      <c r="M354" s="77">
        <f t="shared" si="254"/>
        <v>-159200</v>
      </c>
      <c r="N354" s="77">
        <f t="shared" si="254"/>
        <v>-159200</v>
      </c>
      <c r="O354" s="77">
        <f t="shared" si="254"/>
        <v>-159200</v>
      </c>
      <c r="P354" s="77">
        <f t="shared" si="254"/>
        <v>-159200</v>
      </c>
      <c r="Q354" s="77">
        <f t="shared" si="254"/>
        <v>-159200</v>
      </c>
      <c r="R354" s="77">
        <f t="shared" si="254"/>
        <v>-159200</v>
      </c>
      <c r="S354" s="77">
        <f t="shared" si="254"/>
        <v>-159200</v>
      </c>
      <c r="T354" s="77">
        <f t="shared" si="254"/>
        <v>-159200</v>
      </c>
      <c r="U354" s="77">
        <f t="shared" si="254"/>
        <v>-159200</v>
      </c>
      <c r="V354" s="77">
        <f t="shared" si="254"/>
        <v>-159200</v>
      </c>
      <c r="W354" s="77">
        <f t="shared" si="254"/>
        <v>-159200</v>
      </c>
      <c r="X354" s="77">
        <f t="shared" si="254"/>
        <v>-159200</v>
      </c>
      <c r="Y354" s="77">
        <f t="shared" si="254"/>
        <v>-159200</v>
      </c>
      <c r="Z354" s="77">
        <f t="shared" si="254"/>
        <v>-159200</v>
      </c>
      <c r="AA354" s="77">
        <f t="shared" si="254"/>
        <v>-159200</v>
      </c>
      <c r="AB354" s="77">
        <f t="shared" si="254"/>
        <v>-159200</v>
      </c>
      <c r="AC354" s="77">
        <f t="shared" si="254"/>
        <v>-159200</v>
      </c>
      <c r="AD354" s="77">
        <f t="shared" si="254"/>
        <v>-159200</v>
      </c>
      <c r="AE354" s="10"/>
      <c r="AF354" s="10"/>
      <c r="AG354" s="10"/>
      <c r="AH354" s="10"/>
      <c r="AI354" s="10"/>
      <c r="AJ354" s="10"/>
      <c r="AK354" s="10"/>
      <c r="AL354" s="10"/>
      <c r="AM354" s="10"/>
    </row>
    <row r="355" spans="1:39" ht="15.75" customHeight="1" x14ac:dyDescent="0.2">
      <c r="A355" s="25"/>
      <c r="B355" s="134"/>
      <c r="C355" s="134"/>
      <c r="D355" s="72"/>
      <c r="E355" s="72"/>
      <c r="F355" s="72"/>
      <c r="G355" s="72"/>
      <c r="H355" s="72"/>
      <c r="I355" s="72"/>
      <c r="J355" s="72"/>
      <c r="K355" s="72"/>
      <c r="L355" s="72"/>
      <c r="M355" s="72"/>
      <c r="N355" s="72"/>
      <c r="O355" s="72"/>
      <c r="P355" s="72"/>
      <c r="Q355" s="72"/>
      <c r="R355" s="72"/>
      <c r="S355" s="72"/>
      <c r="T355" s="72"/>
      <c r="U355" s="72"/>
      <c r="V355" s="72"/>
      <c r="W355" s="72"/>
      <c r="X355" s="72"/>
      <c r="Y355" s="72"/>
      <c r="Z355" s="72"/>
      <c r="AA355" s="72"/>
      <c r="AB355" s="72"/>
      <c r="AC355" s="72"/>
      <c r="AD355" s="72"/>
      <c r="AE355" s="10"/>
      <c r="AF355" s="10"/>
      <c r="AG355" s="10"/>
      <c r="AH355" s="10"/>
      <c r="AI355" s="10"/>
      <c r="AJ355" s="10"/>
      <c r="AK355" s="10"/>
      <c r="AL355" s="10"/>
      <c r="AM355" s="10"/>
    </row>
    <row r="356" spans="1:39" ht="15.75" customHeight="1" collapsed="1" x14ac:dyDescent="0.2">
      <c r="A356" s="18"/>
      <c r="B356" s="135" t="s">
        <v>75</v>
      </c>
      <c r="C356" s="136"/>
      <c r="D356" s="136">
        <f t="shared" ref="D356:AD356" si="255">SUM(D357:D360)</f>
        <v>-134200</v>
      </c>
      <c r="E356" s="136">
        <f t="shared" si="255"/>
        <v>-134200</v>
      </c>
      <c r="F356" s="136">
        <f t="shared" si="255"/>
        <v>-134200</v>
      </c>
      <c r="G356" s="136">
        <f t="shared" si="255"/>
        <v>-134200</v>
      </c>
      <c r="H356" s="136">
        <f t="shared" si="255"/>
        <v>-134200</v>
      </c>
      <c r="I356" s="136">
        <f t="shared" si="255"/>
        <v>-134200</v>
      </c>
      <c r="J356" s="136">
        <f t="shared" si="255"/>
        <v>-134200</v>
      </c>
      <c r="K356" s="136">
        <f t="shared" si="255"/>
        <v>-134200</v>
      </c>
      <c r="L356" s="136">
        <f t="shared" si="255"/>
        <v>-134200</v>
      </c>
      <c r="M356" s="136">
        <f t="shared" si="255"/>
        <v>-134200</v>
      </c>
      <c r="N356" s="136">
        <f t="shared" si="255"/>
        <v>-134200</v>
      </c>
      <c r="O356" s="136">
        <f t="shared" si="255"/>
        <v>-134200</v>
      </c>
      <c r="P356" s="136">
        <f t="shared" si="255"/>
        <v>-134200</v>
      </c>
      <c r="Q356" s="136">
        <f t="shared" si="255"/>
        <v>-134200</v>
      </c>
      <c r="R356" s="136">
        <f t="shared" si="255"/>
        <v>-134200</v>
      </c>
      <c r="S356" s="136">
        <f t="shared" si="255"/>
        <v>-134200</v>
      </c>
      <c r="T356" s="136">
        <f t="shared" si="255"/>
        <v>-134200</v>
      </c>
      <c r="U356" s="136">
        <f t="shared" si="255"/>
        <v>-134200</v>
      </c>
      <c r="V356" s="136">
        <f t="shared" si="255"/>
        <v>-134200</v>
      </c>
      <c r="W356" s="136">
        <f t="shared" si="255"/>
        <v>-134200</v>
      </c>
      <c r="X356" s="136">
        <f t="shared" si="255"/>
        <v>-134200</v>
      </c>
      <c r="Y356" s="136">
        <f t="shared" si="255"/>
        <v>-134200</v>
      </c>
      <c r="Z356" s="136">
        <f t="shared" si="255"/>
        <v>-134200</v>
      </c>
      <c r="AA356" s="136">
        <f t="shared" si="255"/>
        <v>-134200</v>
      </c>
      <c r="AB356" s="136">
        <f t="shared" si="255"/>
        <v>-134200</v>
      </c>
      <c r="AC356" s="136">
        <f t="shared" si="255"/>
        <v>-134200</v>
      </c>
      <c r="AD356" s="136">
        <f t="shared" si="255"/>
        <v>-134200</v>
      </c>
      <c r="AE356" s="10"/>
      <c r="AF356" s="10"/>
      <c r="AG356" s="10"/>
      <c r="AH356" s="10"/>
      <c r="AI356" s="10"/>
      <c r="AJ356" s="10"/>
      <c r="AK356" s="10"/>
      <c r="AL356" s="10"/>
      <c r="AM356" s="10"/>
    </row>
    <row r="357" spans="1:39" ht="15.75" hidden="1" customHeight="1" outlineLevel="1" x14ac:dyDescent="0.25">
      <c r="A357" s="18"/>
      <c r="B357" s="137" t="s">
        <v>76</v>
      </c>
      <c r="C357" s="125">
        <v>84200</v>
      </c>
      <c r="D357" s="5">
        <f t="shared" ref="D357:AD357" si="256">-$C357</f>
        <v>-84200</v>
      </c>
      <c r="E357" s="5">
        <f t="shared" si="256"/>
        <v>-84200</v>
      </c>
      <c r="F357" s="5">
        <f t="shared" si="256"/>
        <v>-84200</v>
      </c>
      <c r="G357" s="5">
        <f t="shared" si="256"/>
        <v>-84200</v>
      </c>
      <c r="H357" s="5">
        <f t="shared" si="256"/>
        <v>-84200</v>
      </c>
      <c r="I357" s="5">
        <f t="shared" si="256"/>
        <v>-84200</v>
      </c>
      <c r="J357" s="5">
        <f t="shared" si="256"/>
        <v>-84200</v>
      </c>
      <c r="K357" s="5">
        <f t="shared" si="256"/>
        <v>-84200</v>
      </c>
      <c r="L357" s="5">
        <f t="shared" si="256"/>
        <v>-84200</v>
      </c>
      <c r="M357" s="5">
        <f t="shared" si="256"/>
        <v>-84200</v>
      </c>
      <c r="N357" s="5">
        <f t="shared" si="256"/>
        <v>-84200</v>
      </c>
      <c r="O357" s="5">
        <f t="shared" si="256"/>
        <v>-84200</v>
      </c>
      <c r="P357" s="5">
        <f t="shared" si="256"/>
        <v>-84200</v>
      </c>
      <c r="Q357" s="5">
        <f t="shared" si="256"/>
        <v>-84200</v>
      </c>
      <c r="R357" s="5">
        <f t="shared" si="256"/>
        <v>-84200</v>
      </c>
      <c r="S357" s="5">
        <f t="shared" si="256"/>
        <v>-84200</v>
      </c>
      <c r="T357" s="5">
        <f t="shared" si="256"/>
        <v>-84200</v>
      </c>
      <c r="U357" s="5">
        <f t="shared" si="256"/>
        <v>-84200</v>
      </c>
      <c r="V357" s="5">
        <f t="shared" si="256"/>
        <v>-84200</v>
      </c>
      <c r="W357" s="5">
        <f t="shared" si="256"/>
        <v>-84200</v>
      </c>
      <c r="X357" s="5">
        <f t="shared" si="256"/>
        <v>-84200</v>
      </c>
      <c r="Y357" s="5">
        <f t="shared" si="256"/>
        <v>-84200</v>
      </c>
      <c r="Z357" s="5">
        <f t="shared" si="256"/>
        <v>-84200</v>
      </c>
      <c r="AA357" s="5">
        <f t="shared" si="256"/>
        <v>-84200</v>
      </c>
      <c r="AB357" s="5">
        <f t="shared" si="256"/>
        <v>-84200</v>
      </c>
      <c r="AC357" s="5">
        <f t="shared" si="256"/>
        <v>-84200</v>
      </c>
      <c r="AD357" s="5">
        <f t="shared" si="256"/>
        <v>-84200</v>
      </c>
      <c r="AE357" s="10"/>
      <c r="AF357" s="10"/>
      <c r="AG357" s="10"/>
      <c r="AH357" s="10"/>
      <c r="AI357" s="10"/>
      <c r="AJ357" s="10"/>
      <c r="AK357" s="10"/>
      <c r="AL357" s="10"/>
      <c r="AM357" s="10"/>
    </row>
    <row r="358" spans="1:39" ht="15.75" hidden="1" customHeight="1" outlineLevel="1" x14ac:dyDescent="0.25">
      <c r="A358" s="18"/>
      <c r="B358" s="137" t="s">
        <v>77</v>
      </c>
      <c r="C358" s="125">
        <v>40000</v>
      </c>
      <c r="D358" s="5">
        <f t="shared" ref="D358:AD358" si="257">-$C358</f>
        <v>-40000</v>
      </c>
      <c r="E358" s="5">
        <f t="shared" si="257"/>
        <v>-40000</v>
      </c>
      <c r="F358" s="5">
        <f t="shared" si="257"/>
        <v>-40000</v>
      </c>
      <c r="G358" s="5">
        <f t="shared" si="257"/>
        <v>-40000</v>
      </c>
      <c r="H358" s="5">
        <f t="shared" si="257"/>
        <v>-40000</v>
      </c>
      <c r="I358" s="5">
        <f t="shared" si="257"/>
        <v>-40000</v>
      </c>
      <c r="J358" s="5">
        <f t="shared" si="257"/>
        <v>-40000</v>
      </c>
      <c r="K358" s="5">
        <f t="shared" si="257"/>
        <v>-40000</v>
      </c>
      <c r="L358" s="5">
        <f t="shared" si="257"/>
        <v>-40000</v>
      </c>
      <c r="M358" s="5">
        <f t="shared" si="257"/>
        <v>-40000</v>
      </c>
      <c r="N358" s="5">
        <f t="shared" si="257"/>
        <v>-40000</v>
      </c>
      <c r="O358" s="5">
        <f t="shared" si="257"/>
        <v>-40000</v>
      </c>
      <c r="P358" s="5">
        <f t="shared" si="257"/>
        <v>-40000</v>
      </c>
      <c r="Q358" s="5">
        <f t="shared" si="257"/>
        <v>-40000</v>
      </c>
      <c r="R358" s="5">
        <f t="shared" si="257"/>
        <v>-40000</v>
      </c>
      <c r="S358" s="5">
        <f t="shared" si="257"/>
        <v>-40000</v>
      </c>
      <c r="T358" s="5">
        <f t="shared" si="257"/>
        <v>-40000</v>
      </c>
      <c r="U358" s="5">
        <f t="shared" si="257"/>
        <v>-40000</v>
      </c>
      <c r="V358" s="5">
        <f t="shared" si="257"/>
        <v>-40000</v>
      </c>
      <c r="W358" s="5">
        <f t="shared" si="257"/>
        <v>-40000</v>
      </c>
      <c r="X358" s="5">
        <f t="shared" si="257"/>
        <v>-40000</v>
      </c>
      <c r="Y358" s="5">
        <f t="shared" si="257"/>
        <v>-40000</v>
      </c>
      <c r="Z358" s="5">
        <f t="shared" si="257"/>
        <v>-40000</v>
      </c>
      <c r="AA358" s="5">
        <f t="shared" si="257"/>
        <v>-40000</v>
      </c>
      <c r="AB358" s="5">
        <f t="shared" si="257"/>
        <v>-40000</v>
      </c>
      <c r="AC358" s="5">
        <f t="shared" si="257"/>
        <v>-40000</v>
      </c>
      <c r="AD358" s="5">
        <f t="shared" si="257"/>
        <v>-40000</v>
      </c>
      <c r="AE358" s="10"/>
      <c r="AF358" s="10"/>
      <c r="AG358" s="10"/>
      <c r="AH358" s="10"/>
      <c r="AI358" s="10"/>
      <c r="AJ358" s="10"/>
      <c r="AK358" s="10"/>
      <c r="AL358" s="10"/>
      <c r="AM358" s="10"/>
    </row>
    <row r="359" spans="1:39" ht="15.75" hidden="1" customHeight="1" outlineLevel="1" x14ac:dyDescent="0.25">
      <c r="A359" s="18"/>
      <c r="B359" s="138" t="s">
        <v>78</v>
      </c>
      <c r="C359" s="125">
        <v>5000</v>
      </c>
      <c r="D359" s="5">
        <f t="shared" ref="D359:AD359" si="258">-$C359</f>
        <v>-5000</v>
      </c>
      <c r="E359" s="5">
        <f t="shared" si="258"/>
        <v>-5000</v>
      </c>
      <c r="F359" s="5">
        <f t="shared" si="258"/>
        <v>-5000</v>
      </c>
      <c r="G359" s="5">
        <f t="shared" si="258"/>
        <v>-5000</v>
      </c>
      <c r="H359" s="5">
        <f t="shared" si="258"/>
        <v>-5000</v>
      </c>
      <c r="I359" s="5">
        <f t="shared" si="258"/>
        <v>-5000</v>
      </c>
      <c r="J359" s="5">
        <f t="shared" si="258"/>
        <v>-5000</v>
      </c>
      <c r="K359" s="5">
        <f t="shared" si="258"/>
        <v>-5000</v>
      </c>
      <c r="L359" s="5">
        <f t="shared" si="258"/>
        <v>-5000</v>
      </c>
      <c r="M359" s="5">
        <f t="shared" si="258"/>
        <v>-5000</v>
      </c>
      <c r="N359" s="5">
        <f t="shared" si="258"/>
        <v>-5000</v>
      </c>
      <c r="O359" s="5">
        <f t="shared" si="258"/>
        <v>-5000</v>
      </c>
      <c r="P359" s="5">
        <f t="shared" si="258"/>
        <v>-5000</v>
      </c>
      <c r="Q359" s="5">
        <f t="shared" si="258"/>
        <v>-5000</v>
      </c>
      <c r="R359" s="5">
        <f t="shared" si="258"/>
        <v>-5000</v>
      </c>
      <c r="S359" s="5">
        <f t="shared" si="258"/>
        <v>-5000</v>
      </c>
      <c r="T359" s="5">
        <f t="shared" si="258"/>
        <v>-5000</v>
      </c>
      <c r="U359" s="5">
        <f t="shared" si="258"/>
        <v>-5000</v>
      </c>
      <c r="V359" s="5">
        <f t="shared" si="258"/>
        <v>-5000</v>
      </c>
      <c r="W359" s="5">
        <f t="shared" si="258"/>
        <v>-5000</v>
      </c>
      <c r="X359" s="5">
        <f t="shared" si="258"/>
        <v>-5000</v>
      </c>
      <c r="Y359" s="5">
        <f t="shared" si="258"/>
        <v>-5000</v>
      </c>
      <c r="Z359" s="5">
        <f t="shared" si="258"/>
        <v>-5000</v>
      </c>
      <c r="AA359" s="5">
        <f t="shared" si="258"/>
        <v>-5000</v>
      </c>
      <c r="AB359" s="5">
        <f t="shared" si="258"/>
        <v>-5000</v>
      </c>
      <c r="AC359" s="5">
        <f t="shared" si="258"/>
        <v>-5000</v>
      </c>
      <c r="AD359" s="5">
        <f t="shared" si="258"/>
        <v>-5000</v>
      </c>
      <c r="AE359" s="10"/>
      <c r="AF359" s="10"/>
      <c r="AG359" s="10"/>
      <c r="AH359" s="10"/>
      <c r="AI359" s="10"/>
      <c r="AJ359" s="10"/>
      <c r="AK359" s="10"/>
      <c r="AL359" s="10"/>
      <c r="AM359" s="10"/>
    </row>
    <row r="360" spans="1:39" ht="15.75" hidden="1" customHeight="1" outlineLevel="1" x14ac:dyDescent="0.25">
      <c r="A360" s="18"/>
      <c r="B360" s="138" t="s">
        <v>79</v>
      </c>
      <c r="C360" s="125">
        <v>5000</v>
      </c>
      <c r="D360" s="5">
        <f t="shared" ref="D360:AD360" si="259">-$C360</f>
        <v>-5000</v>
      </c>
      <c r="E360" s="5">
        <f t="shared" si="259"/>
        <v>-5000</v>
      </c>
      <c r="F360" s="5">
        <f t="shared" si="259"/>
        <v>-5000</v>
      </c>
      <c r="G360" s="5">
        <f t="shared" si="259"/>
        <v>-5000</v>
      </c>
      <c r="H360" s="5">
        <f t="shared" si="259"/>
        <v>-5000</v>
      </c>
      <c r="I360" s="5">
        <f t="shared" si="259"/>
        <v>-5000</v>
      </c>
      <c r="J360" s="5">
        <f t="shared" si="259"/>
        <v>-5000</v>
      </c>
      <c r="K360" s="5">
        <f t="shared" si="259"/>
        <v>-5000</v>
      </c>
      <c r="L360" s="5">
        <f t="shared" si="259"/>
        <v>-5000</v>
      </c>
      <c r="M360" s="5">
        <f t="shared" si="259"/>
        <v>-5000</v>
      </c>
      <c r="N360" s="5">
        <f t="shared" si="259"/>
        <v>-5000</v>
      </c>
      <c r="O360" s="5">
        <f t="shared" si="259"/>
        <v>-5000</v>
      </c>
      <c r="P360" s="5">
        <f t="shared" si="259"/>
        <v>-5000</v>
      </c>
      <c r="Q360" s="5">
        <f t="shared" si="259"/>
        <v>-5000</v>
      </c>
      <c r="R360" s="5">
        <f t="shared" si="259"/>
        <v>-5000</v>
      </c>
      <c r="S360" s="5">
        <f t="shared" si="259"/>
        <v>-5000</v>
      </c>
      <c r="T360" s="5">
        <f t="shared" si="259"/>
        <v>-5000</v>
      </c>
      <c r="U360" s="5">
        <f t="shared" si="259"/>
        <v>-5000</v>
      </c>
      <c r="V360" s="5">
        <f t="shared" si="259"/>
        <v>-5000</v>
      </c>
      <c r="W360" s="5">
        <f t="shared" si="259"/>
        <v>-5000</v>
      </c>
      <c r="X360" s="5">
        <f t="shared" si="259"/>
        <v>-5000</v>
      </c>
      <c r="Y360" s="5">
        <f t="shared" si="259"/>
        <v>-5000</v>
      </c>
      <c r="Z360" s="5">
        <f t="shared" si="259"/>
        <v>-5000</v>
      </c>
      <c r="AA360" s="5">
        <f t="shared" si="259"/>
        <v>-5000</v>
      </c>
      <c r="AB360" s="5">
        <f t="shared" si="259"/>
        <v>-5000</v>
      </c>
      <c r="AC360" s="5">
        <f t="shared" si="259"/>
        <v>-5000</v>
      </c>
      <c r="AD360" s="5">
        <f t="shared" si="259"/>
        <v>-5000</v>
      </c>
      <c r="AE360" s="10"/>
      <c r="AF360" s="10"/>
      <c r="AG360" s="10"/>
      <c r="AH360" s="10"/>
      <c r="AI360" s="10"/>
      <c r="AJ360" s="10"/>
      <c r="AK360" s="10"/>
      <c r="AL360" s="10"/>
      <c r="AM360" s="10"/>
    </row>
    <row r="361" spans="1:39" ht="15.75" customHeight="1" x14ac:dyDescent="0.2">
      <c r="A361" s="1"/>
      <c r="B361" s="24"/>
      <c r="C361" s="22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10"/>
      <c r="AF361" s="10"/>
      <c r="AG361" s="10"/>
      <c r="AH361" s="10"/>
      <c r="AI361" s="10"/>
      <c r="AJ361" s="10"/>
      <c r="AK361" s="10"/>
      <c r="AL361" s="10"/>
      <c r="AM361" s="10"/>
    </row>
    <row r="362" spans="1:39" ht="15.75" customHeight="1" x14ac:dyDescent="0.2">
      <c r="A362" s="18"/>
      <c r="B362" s="135" t="s">
        <v>80</v>
      </c>
      <c r="C362" s="136"/>
      <c r="D362" s="136"/>
      <c r="E362" s="136">
        <f t="shared" ref="E362:AD362" si="260">E363</f>
        <v>-25000</v>
      </c>
      <c r="F362" s="136">
        <f t="shared" si="260"/>
        <v>-25000</v>
      </c>
      <c r="G362" s="136">
        <f t="shared" si="260"/>
        <v>-25000</v>
      </c>
      <c r="H362" s="136">
        <f t="shared" si="260"/>
        <v>-25000</v>
      </c>
      <c r="I362" s="136">
        <f t="shared" si="260"/>
        <v>-25000</v>
      </c>
      <c r="J362" s="136">
        <f t="shared" si="260"/>
        <v>-25000</v>
      </c>
      <c r="K362" s="136">
        <f t="shared" si="260"/>
        <v>-25000</v>
      </c>
      <c r="L362" s="136">
        <f t="shared" si="260"/>
        <v>-25000</v>
      </c>
      <c r="M362" s="136">
        <f t="shared" si="260"/>
        <v>-25000</v>
      </c>
      <c r="N362" s="136">
        <f t="shared" si="260"/>
        <v>-25000</v>
      </c>
      <c r="O362" s="136">
        <f t="shared" si="260"/>
        <v>-25000</v>
      </c>
      <c r="P362" s="136">
        <f t="shared" si="260"/>
        <v>-25000</v>
      </c>
      <c r="Q362" s="136">
        <f t="shared" si="260"/>
        <v>-25000</v>
      </c>
      <c r="R362" s="136">
        <f t="shared" si="260"/>
        <v>-25000</v>
      </c>
      <c r="S362" s="136">
        <f t="shared" si="260"/>
        <v>-25000</v>
      </c>
      <c r="T362" s="136">
        <f t="shared" si="260"/>
        <v>-25000</v>
      </c>
      <c r="U362" s="136">
        <f t="shared" si="260"/>
        <v>-25000</v>
      </c>
      <c r="V362" s="136">
        <f t="shared" si="260"/>
        <v>-25000</v>
      </c>
      <c r="W362" s="136">
        <f t="shared" si="260"/>
        <v>-25000</v>
      </c>
      <c r="X362" s="136">
        <f t="shared" si="260"/>
        <v>-25000</v>
      </c>
      <c r="Y362" s="136">
        <f t="shared" si="260"/>
        <v>-25000</v>
      </c>
      <c r="Z362" s="136">
        <f t="shared" si="260"/>
        <v>-25000</v>
      </c>
      <c r="AA362" s="136">
        <f t="shared" si="260"/>
        <v>-25000</v>
      </c>
      <c r="AB362" s="136">
        <f t="shared" si="260"/>
        <v>-25000</v>
      </c>
      <c r="AC362" s="136">
        <f t="shared" si="260"/>
        <v>-25000</v>
      </c>
      <c r="AD362" s="136">
        <f t="shared" si="260"/>
        <v>-25000</v>
      </c>
      <c r="AE362" s="10"/>
      <c r="AF362" s="10"/>
      <c r="AG362" s="10"/>
      <c r="AH362" s="10"/>
      <c r="AI362" s="10"/>
      <c r="AJ362" s="10"/>
      <c r="AK362" s="10"/>
      <c r="AL362" s="10"/>
      <c r="AM362" s="10"/>
    </row>
    <row r="363" spans="1:39" ht="15.75" customHeight="1" x14ac:dyDescent="0.2">
      <c r="A363" s="18"/>
      <c r="B363" s="139" t="s">
        <v>81</v>
      </c>
      <c r="C363" s="125">
        <v>25000</v>
      </c>
      <c r="D363" s="6">
        <f t="shared" ref="D363:AD363" si="261">-$C363</f>
        <v>-25000</v>
      </c>
      <c r="E363" s="6">
        <f t="shared" si="261"/>
        <v>-25000</v>
      </c>
      <c r="F363" s="6">
        <f t="shared" si="261"/>
        <v>-25000</v>
      </c>
      <c r="G363" s="6">
        <f t="shared" si="261"/>
        <v>-25000</v>
      </c>
      <c r="H363" s="6">
        <f t="shared" si="261"/>
        <v>-25000</v>
      </c>
      <c r="I363" s="6">
        <f t="shared" si="261"/>
        <v>-25000</v>
      </c>
      <c r="J363" s="6">
        <f t="shared" si="261"/>
        <v>-25000</v>
      </c>
      <c r="K363" s="6">
        <f t="shared" si="261"/>
        <v>-25000</v>
      </c>
      <c r="L363" s="6">
        <f t="shared" si="261"/>
        <v>-25000</v>
      </c>
      <c r="M363" s="6">
        <f t="shared" si="261"/>
        <v>-25000</v>
      </c>
      <c r="N363" s="6">
        <f t="shared" si="261"/>
        <v>-25000</v>
      </c>
      <c r="O363" s="6">
        <f t="shared" si="261"/>
        <v>-25000</v>
      </c>
      <c r="P363" s="6">
        <f t="shared" si="261"/>
        <v>-25000</v>
      </c>
      <c r="Q363" s="6">
        <f t="shared" si="261"/>
        <v>-25000</v>
      </c>
      <c r="R363" s="6">
        <f t="shared" si="261"/>
        <v>-25000</v>
      </c>
      <c r="S363" s="6">
        <f t="shared" si="261"/>
        <v>-25000</v>
      </c>
      <c r="T363" s="6">
        <f t="shared" si="261"/>
        <v>-25000</v>
      </c>
      <c r="U363" s="6">
        <f t="shared" si="261"/>
        <v>-25000</v>
      </c>
      <c r="V363" s="6">
        <f t="shared" si="261"/>
        <v>-25000</v>
      </c>
      <c r="W363" s="6">
        <f t="shared" si="261"/>
        <v>-25000</v>
      </c>
      <c r="X363" s="6">
        <f t="shared" si="261"/>
        <v>-25000</v>
      </c>
      <c r="Y363" s="6">
        <f t="shared" si="261"/>
        <v>-25000</v>
      </c>
      <c r="Z363" s="6">
        <f t="shared" si="261"/>
        <v>-25000</v>
      </c>
      <c r="AA363" s="6">
        <f t="shared" si="261"/>
        <v>-25000</v>
      </c>
      <c r="AB363" s="6">
        <f t="shared" si="261"/>
        <v>-25000</v>
      </c>
      <c r="AC363" s="6">
        <f t="shared" si="261"/>
        <v>-25000</v>
      </c>
      <c r="AD363" s="6">
        <f t="shared" si="261"/>
        <v>-25000</v>
      </c>
      <c r="AE363" s="10"/>
      <c r="AF363" s="10"/>
      <c r="AG363" s="10"/>
      <c r="AH363" s="10"/>
      <c r="AI363" s="10"/>
      <c r="AJ363" s="10"/>
      <c r="AK363" s="10"/>
      <c r="AL363" s="10"/>
      <c r="AM363" s="10"/>
    </row>
    <row r="364" spans="1:39" ht="15.75" customHeight="1" x14ac:dyDescent="0.2">
      <c r="A364" s="18"/>
      <c r="B364" s="140"/>
      <c r="C364" s="141"/>
      <c r="D364" s="111"/>
      <c r="E364" s="111"/>
      <c r="F364" s="111"/>
      <c r="G364" s="111"/>
      <c r="H364" s="111"/>
      <c r="I364" s="111"/>
      <c r="J364" s="111"/>
      <c r="K364" s="111"/>
      <c r="L364" s="111"/>
      <c r="M364" s="111"/>
      <c r="N364" s="111"/>
      <c r="O364" s="111"/>
      <c r="P364" s="111"/>
      <c r="Q364" s="111"/>
      <c r="R364" s="111"/>
      <c r="S364" s="111"/>
      <c r="T364" s="111"/>
      <c r="U364" s="111"/>
      <c r="V364" s="111"/>
      <c r="W364" s="111"/>
      <c r="X364" s="111"/>
      <c r="Y364" s="111"/>
      <c r="Z364" s="111"/>
      <c r="AA364" s="111"/>
      <c r="AB364" s="111"/>
      <c r="AC364" s="111"/>
      <c r="AD364" s="111"/>
      <c r="AE364" s="10"/>
      <c r="AF364" s="10"/>
      <c r="AG364" s="10"/>
      <c r="AH364" s="10"/>
      <c r="AI364" s="10"/>
      <c r="AJ364" s="10"/>
      <c r="AK364" s="10"/>
      <c r="AL364" s="10"/>
      <c r="AM364" s="10"/>
    </row>
    <row r="365" spans="1:39" ht="15.75" customHeight="1" x14ac:dyDescent="0.2">
      <c r="A365" s="18"/>
      <c r="B365" s="139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10"/>
      <c r="AF365" s="10"/>
      <c r="AG365" s="10"/>
      <c r="AH365" s="10"/>
      <c r="AI365" s="10"/>
      <c r="AJ365" s="10"/>
      <c r="AK365" s="10"/>
      <c r="AL365" s="10"/>
      <c r="AM365" s="10"/>
    </row>
    <row r="366" spans="1:39" ht="20.25" customHeight="1" x14ac:dyDescent="0.2">
      <c r="A366" s="18"/>
      <c r="B366" s="129" t="s">
        <v>82</v>
      </c>
      <c r="C366" s="129"/>
      <c r="D366" s="130">
        <f t="shared" ref="D366:AD366" si="262">D351+D354</f>
        <v>-48831.700000000012</v>
      </c>
      <c r="E366" s="130">
        <f t="shared" si="262"/>
        <v>20169.100000000006</v>
      </c>
      <c r="F366" s="130">
        <f t="shared" si="262"/>
        <v>123704.94999999995</v>
      </c>
      <c r="G366" s="130">
        <f t="shared" si="262"/>
        <v>319149.72499999998</v>
      </c>
      <c r="H366" s="130">
        <f t="shared" si="262"/>
        <v>338256.81299999997</v>
      </c>
      <c r="I366" s="130">
        <f t="shared" si="262"/>
        <v>632141.58650000009</v>
      </c>
      <c r="J366" s="130">
        <f t="shared" si="262"/>
        <v>555220.94586000021</v>
      </c>
      <c r="K366" s="130">
        <f t="shared" si="262"/>
        <v>512200.24502999999</v>
      </c>
      <c r="L366" s="130">
        <f t="shared" si="262"/>
        <v>413977.57808919996</v>
      </c>
      <c r="M366" s="130">
        <f t="shared" si="262"/>
        <v>409117.52490660013</v>
      </c>
      <c r="N366" s="130">
        <f t="shared" si="262"/>
        <v>477878.7141796241</v>
      </c>
      <c r="O366" s="130">
        <f t="shared" si="262"/>
        <v>651934.50247945194</v>
      </c>
      <c r="P366" s="130">
        <f t="shared" si="262"/>
        <v>841429.18811951717</v>
      </c>
      <c r="Q366" s="130">
        <f t="shared" si="262"/>
        <v>1050417.8865454793</v>
      </c>
      <c r="R366" s="130">
        <f t="shared" si="262"/>
        <v>1466316.4403862937</v>
      </c>
      <c r="S366" s="130">
        <f t="shared" si="262"/>
        <v>1415537.2770400054</v>
      </c>
      <c r="T366" s="130">
        <f t="shared" si="262"/>
        <v>1756938.8668849845</v>
      </c>
      <c r="U366" s="130">
        <f t="shared" si="262"/>
        <v>1934256.466948801</v>
      </c>
      <c r="V366" s="130">
        <f t="shared" si="262"/>
        <v>1624297.2807146965</v>
      </c>
      <c r="W366" s="130">
        <f t="shared" si="262"/>
        <v>1469785.9557287362</v>
      </c>
      <c r="X366" s="130">
        <f t="shared" si="262"/>
        <v>1155276.7517572332</v>
      </c>
      <c r="Y366" s="130">
        <f t="shared" si="262"/>
        <v>1131710.3572603222</v>
      </c>
      <c r="Z366" s="130">
        <f t="shared" si="262"/>
        <v>1171863.3033865914</v>
      </c>
      <c r="AA366" s="130">
        <f t="shared" si="262"/>
        <v>1903955.3965972709</v>
      </c>
      <c r="AB366" s="130">
        <f t="shared" si="262"/>
        <v>2081268.0487450501</v>
      </c>
      <c r="AC366" s="130">
        <f t="shared" si="262"/>
        <v>2478313.0602513994</v>
      </c>
      <c r="AD366" s="130">
        <f t="shared" si="262"/>
        <v>2967079.551723911</v>
      </c>
      <c r="AE366" s="10"/>
      <c r="AF366" s="10"/>
      <c r="AG366" s="10"/>
      <c r="AH366" s="10"/>
      <c r="AI366" s="10"/>
      <c r="AJ366" s="10"/>
      <c r="AK366" s="10"/>
      <c r="AL366" s="10"/>
      <c r="AM366" s="10"/>
    </row>
    <row r="367" spans="1:39" ht="15.75" customHeight="1" collapsed="1" x14ac:dyDescent="0.2">
      <c r="A367" s="131"/>
      <c r="B367" s="480" t="s">
        <v>83</v>
      </c>
      <c r="C367" s="477"/>
      <c r="D367" s="98">
        <f t="shared" ref="D367:AD367" si="263">IFERROR(D366/D15,0)</f>
        <v>-0.28167801107521928</v>
      </c>
      <c r="E367" s="98">
        <f t="shared" si="263"/>
        <v>5.5641966453321576E-2</v>
      </c>
      <c r="F367" s="98">
        <f t="shared" si="263"/>
        <v>0.22335936741091525</v>
      </c>
      <c r="G367" s="98">
        <f t="shared" si="263"/>
        <v>0.34049316447247624</v>
      </c>
      <c r="H367" s="98">
        <f t="shared" si="263"/>
        <v>0.35151833282543199</v>
      </c>
      <c r="I367" s="98">
        <f t="shared" si="263"/>
        <v>0.41425578517656653</v>
      </c>
      <c r="J367" s="98">
        <f t="shared" si="263"/>
        <v>0.40413214530638897</v>
      </c>
      <c r="K367" s="98">
        <f t="shared" si="263"/>
        <v>0.40932479454177689</v>
      </c>
      <c r="L367" s="98">
        <f t="shared" si="263"/>
        <v>0.39011084014890229</v>
      </c>
      <c r="M367" s="98">
        <f t="shared" si="263"/>
        <v>0.38785117222178106</v>
      </c>
      <c r="N367" s="98">
        <f t="shared" si="263"/>
        <v>0.39608706653760434</v>
      </c>
      <c r="O367" s="98">
        <f t="shared" si="263"/>
        <v>0.42010891954944302</v>
      </c>
      <c r="P367" s="98">
        <f t="shared" si="263"/>
        <v>0.43653267965367992</v>
      </c>
      <c r="Q367" s="98">
        <f t="shared" si="263"/>
        <v>0.45107531031144993</v>
      </c>
      <c r="R367" s="98">
        <f t="shared" si="263"/>
        <v>0.4761071918532101</v>
      </c>
      <c r="S367" s="98">
        <f t="shared" si="263"/>
        <v>0.47920136899729804</v>
      </c>
      <c r="T367" s="98">
        <f t="shared" si="263"/>
        <v>0.49117633158524104</v>
      </c>
      <c r="U367" s="98">
        <f t="shared" si="263"/>
        <v>0.49193490813301344</v>
      </c>
      <c r="V367" s="98">
        <f t="shared" si="263"/>
        <v>0.49428485125569305</v>
      </c>
      <c r="W367" s="98">
        <f t="shared" si="263"/>
        <v>0.49637957242288611</v>
      </c>
      <c r="X367" s="98">
        <f t="shared" si="263"/>
        <v>0.48594943885747877</v>
      </c>
      <c r="Y367" s="98">
        <f t="shared" si="263"/>
        <v>0.48228120456062445</v>
      </c>
      <c r="Z367" s="98">
        <f t="shared" si="263"/>
        <v>0.47851514649776034</v>
      </c>
      <c r="AA367" s="98">
        <f t="shared" si="263"/>
        <v>0.49117277888158839</v>
      </c>
      <c r="AB367" s="98">
        <f t="shared" si="263"/>
        <v>0.49255558548713696</v>
      </c>
      <c r="AC367" s="98">
        <f t="shared" si="263"/>
        <v>0.50384686754308738</v>
      </c>
      <c r="AD367" s="98">
        <f t="shared" si="263"/>
        <v>0.5068791780281966</v>
      </c>
      <c r="AE367" s="10"/>
      <c r="AF367" s="10"/>
      <c r="AG367" s="10"/>
      <c r="AH367" s="10"/>
      <c r="AI367" s="10"/>
      <c r="AJ367" s="10"/>
      <c r="AK367" s="10"/>
      <c r="AL367" s="10"/>
      <c r="AM367" s="10"/>
    </row>
    <row r="368" spans="1:39" ht="15.75" hidden="1" customHeight="1" outlineLevel="1" x14ac:dyDescent="0.2">
      <c r="A368" s="18"/>
      <c r="B368" s="24"/>
      <c r="C368" s="93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10"/>
      <c r="AF368" s="10"/>
      <c r="AG368" s="10"/>
      <c r="AH368" s="10"/>
      <c r="AI368" s="10"/>
      <c r="AJ368" s="10"/>
      <c r="AK368" s="10"/>
      <c r="AL368" s="10"/>
      <c r="AM368" s="10"/>
    </row>
    <row r="369" spans="1:39" ht="15.75" hidden="1" customHeight="1" outlineLevel="1" x14ac:dyDescent="0.2">
      <c r="A369" s="18"/>
      <c r="B369" s="139" t="s">
        <v>84</v>
      </c>
      <c r="C369" s="142">
        <v>0.15</v>
      </c>
      <c r="D369" s="5">
        <f t="shared" ref="D369:AD369" si="264">-D366*$C$369</f>
        <v>7324.7550000000019</v>
      </c>
      <c r="E369" s="5">
        <f t="shared" si="264"/>
        <v>-3025.3650000000007</v>
      </c>
      <c r="F369" s="5">
        <f t="shared" si="264"/>
        <v>-18555.742499999993</v>
      </c>
      <c r="G369" s="5">
        <f t="shared" si="264"/>
        <v>-47872.458749999998</v>
      </c>
      <c r="H369" s="5">
        <f t="shared" si="264"/>
        <v>-50738.521949999995</v>
      </c>
      <c r="I369" s="5">
        <f t="shared" si="264"/>
        <v>-94821.237975000011</v>
      </c>
      <c r="J369" s="5">
        <f t="shared" si="264"/>
        <v>-83283.141879000032</v>
      </c>
      <c r="K369" s="5">
        <f t="shared" si="264"/>
        <v>-76830.03675449999</v>
      </c>
      <c r="L369" s="5">
        <f t="shared" si="264"/>
        <v>-62096.636713379994</v>
      </c>
      <c r="M369" s="5">
        <f t="shared" si="264"/>
        <v>-61367.628735990016</v>
      </c>
      <c r="N369" s="5">
        <f t="shared" si="264"/>
        <v>-71681.807126943619</v>
      </c>
      <c r="O369" s="5">
        <f t="shared" si="264"/>
        <v>-97790.175371917794</v>
      </c>
      <c r="P369" s="5">
        <f t="shared" si="264"/>
        <v>-126214.37821792757</v>
      </c>
      <c r="Q369" s="5">
        <f t="shared" si="264"/>
        <v>-157562.68298182188</v>
      </c>
      <c r="R369" s="5">
        <f t="shared" si="264"/>
        <v>-219947.46605794405</v>
      </c>
      <c r="S369" s="5">
        <f t="shared" si="264"/>
        <v>-212330.59155600081</v>
      </c>
      <c r="T369" s="5">
        <f t="shared" si="264"/>
        <v>-263540.83003274765</v>
      </c>
      <c r="U369" s="5">
        <f t="shared" si="264"/>
        <v>-290138.47004232014</v>
      </c>
      <c r="V369" s="5">
        <f t="shared" si="264"/>
        <v>-243644.59210720446</v>
      </c>
      <c r="W369" s="5">
        <f t="shared" si="264"/>
        <v>-220467.89335931043</v>
      </c>
      <c r="X369" s="5">
        <f t="shared" si="264"/>
        <v>-173291.51276358496</v>
      </c>
      <c r="Y369" s="5">
        <f t="shared" si="264"/>
        <v>-169756.55358904833</v>
      </c>
      <c r="Z369" s="5">
        <f t="shared" si="264"/>
        <v>-175779.4955079887</v>
      </c>
      <c r="AA369" s="5">
        <f t="shared" si="264"/>
        <v>-285593.30948959064</v>
      </c>
      <c r="AB369" s="5">
        <f t="shared" si="264"/>
        <v>-312190.20731175749</v>
      </c>
      <c r="AC369" s="5">
        <f t="shared" si="264"/>
        <v>-371746.95903770992</v>
      </c>
      <c r="AD369" s="5">
        <f t="shared" si="264"/>
        <v>-445061.93275858666</v>
      </c>
      <c r="AE369" s="10"/>
      <c r="AF369" s="10"/>
      <c r="AG369" s="10"/>
      <c r="AH369" s="10"/>
      <c r="AI369" s="10"/>
      <c r="AJ369" s="10"/>
      <c r="AK369" s="10"/>
      <c r="AL369" s="10"/>
      <c r="AM369" s="10"/>
    </row>
    <row r="370" spans="1:39" ht="15.75" hidden="1" customHeight="1" outlineLevel="1" x14ac:dyDescent="0.2">
      <c r="A370" s="104"/>
      <c r="B370" s="143" t="s">
        <v>85</v>
      </c>
      <c r="C370" s="144">
        <v>0.06</v>
      </c>
      <c r="D370" s="99">
        <f t="shared" ref="D370:AD370" si="265">-D10*6%</f>
        <v>-10401.6</v>
      </c>
      <c r="E370" s="99">
        <f t="shared" si="265"/>
        <v>-21748.799999999999</v>
      </c>
      <c r="F370" s="99">
        <f t="shared" si="265"/>
        <v>-33230.291999999994</v>
      </c>
      <c r="G370" s="99">
        <f t="shared" si="265"/>
        <v>-56238.965999999993</v>
      </c>
      <c r="H370" s="99">
        <f t="shared" si="265"/>
        <v>-57736.416239999999</v>
      </c>
      <c r="I370" s="99">
        <f t="shared" si="265"/>
        <v>-91558.154519999996</v>
      </c>
      <c r="J370" s="99">
        <f t="shared" si="265"/>
        <v>-82431.593572800004</v>
      </c>
      <c r="K370" s="99">
        <f t="shared" si="265"/>
        <v>-75079.777994399992</v>
      </c>
      <c r="L370" s="99">
        <f t="shared" si="265"/>
        <v>-63670.762586015997</v>
      </c>
      <c r="M370" s="99">
        <f t="shared" si="265"/>
        <v>-63289.873158768001</v>
      </c>
      <c r="N370" s="99">
        <f t="shared" si="265"/>
        <v>-72389.949768923514</v>
      </c>
      <c r="O370" s="99">
        <f t="shared" si="265"/>
        <v>-93109.35409492896</v>
      </c>
      <c r="P370" s="99">
        <f t="shared" si="265"/>
        <v>-115651.71094916316</v>
      </c>
      <c r="Q370" s="99">
        <f t="shared" si="265"/>
        <v>-139721.84190088435</v>
      </c>
      <c r="R370" s="99">
        <f t="shared" si="265"/>
        <v>-184788.19040881589</v>
      </c>
      <c r="S370" s="99">
        <f t="shared" si="265"/>
        <v>-177237.04921819456</v>
      </c>
      <c r="T370" s="99">
        <f t="shared" si="265"/>
        <v>-214620.13788993948</v>
      </c>
      <c r="U370" s="99">
        <f t="shared" si="265"/>
        <v>-235916.14682800276</v>
      </c>
      <c r="V370" s="99">
        <f t="shared" si="265"/>
        <v>-197169.37833578669</v>
      </c>
      <c r="W370" s="99">
        <f t="shared" si="265"/>
        <v>-177660.73030216061</v>
      </c>
      <c r="X370" s="99">
        <f t="shared" si="265"/>
        <v>-142641.59923387307</v>
      </c>
      <c r="Y370" s="99">
        <f t="shared" si="265"/>
        <v>-140794.66666647536</v>
      </c>
      <c r="Z370" s="99">
        <f t="shared" si="265"/>
        <v>-146937.45583145207</v>
      </c>
      <c r="AA370" s="99">
        <f t="shared" si="265"/>
        <v>-232580.73066662456</v>
      </c>
      <c r="AB370" s="99">
        <f t="shared" si="265"/>
        <v>-253526.88428291943</v>
      </c>
      <c r="AC370" s="99">
        <f t="shared" si="265"/>
        <v>-295126.9387466574</v>
      </c>
      <c r="AD370" s="99">
        <f t="shared" si="265"/>
        <v>-351217.37254224229</v>
      </c>
      <c r="AE370" s="145"/>
      <c r="AF370" s="145"/>
      <c r="AG370" s="145"/>
      <c r="AH370" s="145"/>
      <c r="AI370" s="145"/>
      <c r="AJ370" s="145"/>
      <c r="AK370" s="145"/>
      <c r="AL370" s="145"/>
      <c r="AM370" s="145"/>
    </row>
    <row r="371" spans="1:39" ht="15.75" hidden="1" customHeight="1" outlineLevel="1" x14ac:dyDescent="0.2">
      <c r="A371" s="18"/>
      <c r="B371" s="139" t="s">
        <v>86</v>
      </c>
      <c r="C371" s="5"/>
      <c r="D371" s="5">
        <f t="shared" ref="D371:AD371" si="266">-(D384+D390+D396)</f>
        <v>0</v>
      </c>
      <c r="E371" s="5">
        <f t="shared" si="266"/>
        <v>0</v>
      </c>
      <c r="F371" s="5">
        <f t="shared" si="266"/>
        <v>0</v>
      </c>
      <c r="G371" s="5">
        <f t="shared" si="266"/>
        <v>0</v>
      </c>
      <c r="H371" s="5">
        <f t="shared" si="266"/>
        <v>0</v>
      </c>
      <c r="I371" s="5">
        <f t="shared" si="266"/>
        <v>0</v>
      </c>
      <c r="J371" s="5">
        <f t="shared" si="266"/>
        <v>0</v>
      </c>
      <c r="K371" s="5">
        <f t="shared" si="266"/>
        <v>0</v>
      </c>
      <c r="L371" s="5">
        <f t="shared" si="266"/>
        <v>0</v>
      </c>
      <c r="M371" s="5">
        <f t="shared" si="266"/>
        <v>0</v>
      </c>
      <c r="N371" s="5">
        <f t="shared" si="266"/>
        <v>0</v>
      </c>
      <c r="O371" s="5">
        <f t="shared" si="266"/>
        <v>0</v>
      </c>
      <c r="P371" s="5">
        <f t="shared" si="266"/>
        <v>0</v>
      </c>
      <c r="Q371" s="5">
        <f t="shared" si="266"/>
        <v>0</v>
      </c>
      <c r="R371" s="5">
        <f t="shared" si="266"/>
        <v>0</v>
      </c>
      <c r="S371" s="5">
        <f t="shared" si="266"/>
        <v>0</v>
      </c>
      <c r="T371" s="5">
        <f t="shared" si="266"/>
        <v>0</v>
      </c>
      <c r="U371" s="5">
        <f t="shared" si="266"/>
        <v>0</v>
      </c>
      <c r="V371" s="5">
        <f t="shared" si="266"/>
        <v>0</v>
      </c>
      <c r="W371" s="5">
        <f t="shared" si="266"/>
        <v>0</v>
      </c>
      <c r="X371" s="5">
        <f t="shared" si="266"/>
        <v>0</v>
      </c>
      <c r="Y371" s="5">
        <f t="shared" si="266"/>
        <v>0</v>
      </c>
      <c r="Z371" s="5">
        <f t="shared" si="266"/>
        <v>0</v>
      </c>
      <c r="AA371" s="5">
        <f t="shared" si="266"/>
        <v>0</v>
      </c>
      <c r="AB371" s="5">
        <f t="shared" si="266"/>
        <v>0</v>
      </c>
      <c r="AC371" s="5">
        <f t="shared" si="266"/>
        <v>0</v>
      </c>
      <c r="AD371" s="5">
        <f t="shared" si="266"/>
        <v>0</v>
      </c>
      <c r="AE371" s="10"/>
      <c r="AF371" s="10"/>
      <c r="AG371" s="10"/>
      <c r="AH371" s="10"/>
      <c r="AI371" s="10"/>
      <c r="AJ371" s="10"/>
      <c r="AK371" s="10"/>
      <c r="AL371" s="10"/>
      <c r="AM371" s="10"/>
    </row>
    <row r="372" spans="1:39" ht="15.75" customHeight="1" x14ac:dyDescent="0.2">
      <c r="A372" s="146"/>
      <c r="B372" s="147" t="s">
        <v>87</v>
      </c>
      <c r="C372" s="146"/>
      <c r="D372" s="148"/>
      <c r="E372" s="148"/>
      <c r="F372" s="148"/>
      <c r="G372" s="148"/>
      <c r="H372" s="148"/>
      <c r="I372" s="148"/>
      <c r="J372" s="148">
        <f t="shared" ref="J372:AD372" si="267">-J488</f>
        <v>-78828.026640655749</v>
      </c>
      <c r="K372" s="148">
        <f t="shared" si="267"/>
        <v>-71797.601907213117</v>
      </c>
      <c r="L372" s="148">
        <f t="shared" si="267"/>
        <v>-60887.341270780329</v>
      </c>
      <c r="M372" s="148">
        <f t="shared" si="267"/>
        <v>-60523.102747455741</v>
      </c>
      <c r="N372" s="148">
        <f t="shared" si="267"/>
        <v>-69225.361800883155</v>
      </c>
      <c r="O372" s="148">
        <f t="shared" si="267"/>
        <v>-89038.999817555043</v>
      </c>
      <c r="P372" s="148">
        <f t="shared" si="267"/>
        <v>-110595.89844865332</v>
      </c>
      <c r="Q372" s="148">
        <f t="shared" si="267"/>
        <v>-133613.78323855062</v>
      </c>
      <c r="R372" s="148">
        <f t="shared" si="267"/>
        <v>-176710.01815050704</v>
      </c>
      <c r="S372" s="148">
        <f t="shared" si="267"/>
        <v>-169488.98149280902</v>
      </c>
      <c r="T372" s="148">
        <f t="shared" si="267"/>
        <v>-205237.83677999681</v>
      </c>
      <c r="U372" s="148">
        <f t="shared" si="267"/>
        <v>-225602.87264972946</v>
      </c>
      <c r="V372" s="148">
        <f t="shared" si="267"/>
        <v>-188549.95196045176</v>
      </c>
      <c r="W372" s="148">
        <f t="shared" si="267"/>
        <v>-169894.14099933393</v>
      </c>
      <c r="X372" s="148">
        <f t="shared" si="267"/>
        <v>-136405.90090670926</v>
      </c>
      <c r="Y372" s="148">
        <f t="shared" si="267"/>
        <v>-134639.70856083711</v>
      </c>
      <c r="Z372" s="148">
        <f t="shared" si="267"/>
        <v>-140513.96049455801</v>
      </c>
      <c r="AA372" s="148">
        <f t="shared" si="267"/>
        <v>-222413.26703092514</v>
      </c>
      <c r="AB372" s="148">
        <f t="shared" si="267"/>
        <v>-242443.74180060605</v>
      </c>
      <c r="AC372" s="148">
        <f t="shared" si="267"/>
        <v>-282225.21464844287</v>
      </c>
      <c r="AD372" s="148">
        <f t="shared" si="267"/>
        <v>-335863.60762236285</v>
      </c>
      <c r="AE372" s="149"/>
      <c r="AF372" s="149"/>
      <c r="AG372" s="149"/>
      <c r="AH372" s="149"/>
      <c r="AI372" s="149"/>
      <c r="AJ372" s="149"/>
      <c r="AK372" s="149"/>
      <c r="AL372" s="149"/>
      <c r="AM372" s="149"/>
    </row>
    <row r="373" spans="1:39" ht="15.75" customHeight="1" x14ac:dyDescent="0.2">
      <c r="A373" s="120"/>
      <c r="B373" s="481"/>
      <c r="C373" s="477"/>
      <c r="D373" s="6"/>
      <c r="E373" s="6"/>
      <c r="F373" s="6"/>
      <c r="G373" s="6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10"/>
      <c r="AF373" s="10"/>
      <c r="AG373" s="10"/>
      <c r="AH373" s="10"/>
      <c r="AI373" s="10"/>
      <c r="AJ373" s="10"/>
      <c r="AK373" s="10"/>
      <c r="AL373" s="10"/>
      <c r="AM373" s="10"/>
    </row>
    <row r="374" spans="1:39" ht="18.75" customHeight="1" x14ac:dyDescent="0.2">
      <c r="A374" s="18"/>
      <c r="B374" s="129" t="s">
        <v>88</v>
      </c>
      <c r="C374" s="129"/>
      <c r="D374" s="130">
        <f t="shared" ref="D374:AD374" si="268">D366+D369+D371+D372</f>
        <v>-41506.945000000007</v>
      </c>
      <c r="E374" s="130">
        <f t="shared" si="268"/>
        <v>17143.735000000004</v>
      </c>
      <c r="F374" s="130">
        <f t="shared" si="268"/>
        <v>105149.20749999996</v>
      </c>
      <c r="G374" s="130">
        <f t="shared" si="268"/>
        <v>271277.26624999999</v>
      </c>
      <c r="H374" s="130">
        <f t="shared" si="268"/>
        <v>287518.29105</v>
      </c>
      <c r="I374" s="130">
        <f t="shared" si="268"/>
        <v>537320.34852500004</v>
      </c>
      <c r="J374" s="130">
        <f t="shared" si="268"/>
        <v>393109.77734034444</v>
      </c>
      <c r="K374" s="130">
        <f t="shared" si="268"/>
        <v>363572.60636828688</v>
      </c>
      <c r="L374" s="130">
        <f t="shared" si="268"/>
        <v>290993.60010503966</v>
      </c>
      <c r="M374" s="130">
        <f t="shared" si="268"/>
        <v>287226.79342315433</v>
      </c>
      <c r="N374" s="130">
        <f t="shared" si="268"/>
        <v>336971.54525179736</v>
      </c>
      <c r="O374" s="130">
        <f t="shared" si="268"/>
        <v>465105.32728997909</v>
      </c>
      <c r="P374" s="130">
        <f t="shared" si="268"/>
        <v>604618.91145293636</v>
      </c>
      <c r="Q374" s="130">
        <f t="shared" si="268"/>
        <v>759241.42032510671</v>
      </c>
      <c r="R374" s="130">
        <f t="shared" si="268"/>
        <v>1069658.9561778426</v>
      </c>
      <c r="S374" s="130">
        <f t="shared" si="268"/>
        <v>1033717.7039911957</v>
      </c>
      <c r="T374" s="130">
        <f t="shared" si="268"/>
        <v>1288160.2000722401</v>
      </c>
      <c r="U374" s="130">
        <f t="shared" si="268"/>
        <v>1418515.1242567513</v>
      </c>
      <c r="V374" s="130">
        <f t="shared" si="268"/>
        <v>1192102.7366470404</v>
      </c>
      <c r="W374" s="130">
        <f t="shared" si="268"/>
        <v>1079423.9213700918</v>
      </c>
      <c r="X374" s="130">
        <f t="shared" si="268"/>
        <v>845579.33808693895</v>
      </c>
      <c r="Y374" s="130">
        <f t="shared" si="268"/>
        <v>827314.09511043679</v>
      </c>
      <c r="Z374" s="130">
        <f t="shared" si="268"/>
        <v>855569.84738404467</v>
      </c>
      <c r="AA374" s="130">
        <f t="shared" si="268"/>
        <v>1395948.8200767552</v>
      </c>
      <c r="AB374" s="130">
        <f t="shared" si="268"/>
        <v>1526634.0996326867</v>
      </c>
      <c r="AC374" s="130">
        <f t="shared" si="268"/>
        <v>1824340.8865652466</v>
      </c>
      <c r="AD374" s="130">
        <f t="shared" si="268"/>
        <v>2186154.0113429618</v>
      </c>
      <c r="AE374" s="10"/>
      <c r="AF374" s="10"/>
      <c r="AG374" s="10"/>
      <c r="AH374" s="10"/>
      <c r="AI374" s="10"/>
      <c r="AJ374" s="10"/>
      <c r="AK374" s="10"/>
      <c r="AL374" s="10"/>
      <c r="AM374" s="10"/>
    </row>
    <row r="375" spans="1:39" ht="15.75" customHeight="1" x14ac:dyDescent="0.2">
      <c r="A375" s="131"/>
      <c r="B375" s="482" t="s">
        <v>89</v>
      </c>
      <c r="C375" s="477"/>
      <c r="D375" s="98">
        <f t="shared" ref="D375:AD375" si="269">IFERROR(D374/D$10,0)</f>
        <v>-0.23942630941393636</v>
      </c>
      <c r="E375" s="98">
        <f t="shared" si="269"/>
        <v>4.7295671485323341E-2</v>
      </c>
      <c r="F375" s="98">
        <f t="shared" si="269"/>
        <v>0.18985546229927797</v>
      </c>
      <c r="G375" s="98">
        <f t="shared" si="269"/>
        <v>0.2894191898016048</v>
      </c>
      <c r="H375" s="98">
        <f t="shared" si="269"/>
        <v>0.29879058290161725</v>
      </c>
      <c r="I375" s="98">
        <f t="shared" si="269"/>
        <v>0.35211741740008151</v>
      </c>
      <c r="J375" s="98">
        <f t="shared" si="269"/>
        <v>0.28613527433010277</v>
      </c>
      <c r="K375" s="98">
        <f t="shared" si="269"/>
        <v>0.29054902618018247</v>
      </c>
      <c r="L375" s="98">
        <f t="shared" si="269"/>
        <v>0.2742171649462391</v>
      </c>
      <c r="M375" s="98">
        <f t="shared" si="269"/>
        <v>0.27229644720818602</v>
      </c>
      <c r="N375" s="98">
        <f t="shared" si="269"/>
        <v>0.27929695737663585</v>
      </c>
      <c r="O375" s="98">
        <f t="shared" si="269"/>
        <v>0.29971553243669868</v>
      </c>
      <c r="P375" s="98">
        <f t="shared" si="269"/>
        <v>0.31367572852530007</v>
      </c>
      <c r="Q375" s="98">
        <f t="shared" si="269"/>
        <v>0.32603696458440451</v>
      </c>
      <c r="R375" s="98">
        <f t="shared" si="269"/>
        <v>0.34731406389490066</v>
      </c>
      <c r="S375" s="98">
        <f t="shared" si="269"/>
        <v>0.3499441144673755</v>
      </c>
      <c r="T375" s="98">
        <f t="shared" si="269"/>
        <v>0.36012283266712702</v>
      </c>
      <c r="U375" s="98">
        <f t="shared" si="269"/>
        <v>0.36076762273273355</v>
      </c>
      <c r="V375" s="98">
        <f t="shared" si="269"/>
        <v>0.36276507438701122</v>
      </c>
      <c r="W375" s="98">
        <f t="shared" si="269"/>
        <v>0.36454558737912535</v>
      </c>
      <c r="X375" s="98">
        <f t="shared" si="269"/>
        <v>0.35567997384852906</v>
      </c>
      <c r="Y375" s="98">
        <f t="shared" si="269"/>
        <v>0.35256197469620293</v>
      </c>
      <c r="Z375" s="98">
        <f t="shared" si="269"/>
        <v>0.34936082534276841</v>
      </c>
      <c r="AA375" s="98">
        <f t="shared" si="269"/>
        <v>0.36011981286902228</v>
      </c>
      <c r="AB375" s="98">
        <f t="shared" si="269"/>
        <v>0.36129519848373859</v>
      </c>
      <c r="AC375" s="98">
        <f t="shared" si="269"/>
        <v>0.3708927882312964</v>
      </c>
      <c r="AD375" s="98">
        <f t="shared" si="269"/>
        <v>0.37347025214363927</v>
      </c>
      <c r="AE375" s="10"/>
      <c r="AF375" s="10"/>
      <c r="AG375" s="10"/>
      <c r="AH375" s="10"/>
      <c r="AI375" s="10"/>
      <c r="AJ375" s="10"/>
      <c r="AK375" s="10"/>
      <c r="AL375" s="10"/>
      <c r="AM375" s="10"/>
    </row>
    <row r="376" spans="1:39" ht="14.25" customHeight="1" x14ac:dyDescent="0.2">
      <c r="A376" s="120"/>
      <c r="B376" s="481"/>
      <c r="C376" s="477"/>
      <c r="D376" s="5"/>
      <c r="E376" s="483"/>
      <c r="F376" s="477"/>
      <c r="G376" s="477"/>
      <c r="H376" s="477"/>
      <c r="I376" s="477"/>
      <c r="J376" s="477"/>
      <c r="K376" s="477"/>
      <c r="L376" s="477"/>
      <c r="M376" s="477"/>
      <c r="N376" s="477"/>
      <c r="O376" s="477"/>
      <c r="P376" s="477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10"/>
      <c r="AF376" s="10"/>
      <c r="AG376" s="10"/>
      <c r="AH376" s="10"/>
      <c r="AI376" s="10"/>
      <c r="AJ376" s="10"/>
      <c r="AK376" s="10"/>
      <c r="AL376" s="10"/>
      <c r="AM376" s="10"/>
    </row>
    <row r="377" spans="1:39" ht="15.75" customHeight="1" x14ac:dyDescent="0.2">
      <c r="A377" s="150"/>
      <c r="B377" s="484" t="s">
        <v>90</v>
      </c>
      <c r="C377" s="477"/>
      <c r="D377" s="151">
        <f>D374</f>
        <v>-41506.945000000007</v>
      </c>
      <c r="E377" s="151">
        <f t="shared" ref="E377:AD377" si="270">D377+E374</f>
        <v>-24363.210000000003</v>
      </c>
      <c r="F377" s="151">
        <f t="shared" si="270"/>
        <v>80785.997499999954</v>
      </c>
      <c r="G377" s="151">
        <f t="shared" si="270"/>
        <v>352063.26374999993</v>
      </c>
      <c r="H377" s="151">
        <f t="shared" si="270"/>
        <v>639581.55479999993</v>
      </c>
      <c r="I377" s="151">
        <f t="shared" si="270"/>
        <v>1176901.9033249998</v>
      </c>
      <c r="J377" s="151">
        <f t="shared" si="270"/>
        <v>1570011.6806653442</v>
      </c>
      <c r="K377" s="151">
        <f t="shared" si="270"/>
        <v>1933584.287033631</v>
      </c>
      <c r="L377" s="151">
        <f t="shared" si="270"/>
        <v>2224577.8871386708</v>
      </c>
      <c r="M377" s="151">
        <f t="shared" si="270"/>
        <v>2511804.6805618252</v>
      </c>
      <c r="N377" s="151">
        <f t="shared" si="270"/>
        <v>2848776.2258136226</v>
      </c>
      <c r="O377" s="151">
        <f t="shared" si="270"/>
        <v>3313881.5531036016</v>
      </c>
      <c r="P377" s="151">
        <f t="shared" si="270"/>
        <v>3918500.464556538</v>
      </c>
      <c r="Q377" s="151">
        <f t="shared" si="270"/>
        <v>4677741.8848816445</v>
      </c>
      <c r="R377" s="151">
        <f t="shared" si="270"/>
        <v>5747400.8410594873</v>
      </c>
      <c r="S377" s="151">
        <f t="shared" si="270"/>
        <v>6781118.5450506825</v>
      </c>
      <c r="T377" s="151">
        <f t="shared" si="270"/>
        <v>8069278.7451229226</v>
      </c>
      <c r="U377" s="151">
        <f t="shared" si="270"/>
        <v>9487793.8693796732</v>
      </c>
      <c r="V377" s="151">
        <f t="shared" si="270"/>
        <v>10679896.606026713</v>
      </c>
      <c r="W377" s="151">
        <f t="shared" si="270"/>
        <v>11759320.527396806</v>
      </c>
      <c r="X377" s="151">
        <f t="shared" si="270"/>
        <v>12604899.865483744</v>
      </c>
      <c r="Y377" s="151">
        <f t="shared" si="270"/>
        <v>13432213.960594181</v>
      </c>
      <c r="Z377" s="151">
        <f t="shared" si="270"/>
        <v>14287783.807978226</v>
      </c>
      <c r="AA377" s="151">
        <f t="shared" si="270"/>
        <v>15683732.62805498</v>
      </c>
      <c r="AB377" s="151">
        <f t="shared" si="270"/>
        <v>17210366.727687668</v>
      </c>
      <c r="AC377" s="151">
        <f t="shared" si="270"/>
        <v>19034707.614252914</v>
      </c>
      <c r="AD377" s="151">
        <f t="shared" si="270"/>
        <v>21220861.625595875</v>
      </c>
      <c r="AE377" s="10"/>
      <c r="AF377" s="10"/>
      <c r="AG377" s="10"/>
      <c r="AH377" s="10"/>
      <c r="AI377" s="10"/>
      <c r="AJ377" s="10"/>
      <c r="AK377" s="10"/>
      <c r="AL377" s="10"/>
      <c r="AM377" s="10"/>
    </row>
    <row r="378" spans="1:39" ht="15.75" customHeight="1" x14ac:dyDescent="0.2">
      <c r="A378" s="120"/>
      <c r="B378" s="127"/>
      <c r="C378" s="127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10"/>
      <c r="AF378" s="10"/>
      <c r="AG378" s="10"/>
      <c r="AH378" s="10"/>
      <c r="AI378" s="10"/>
      <c r="AJ378" s="10"/>
      <c r="AK378" s="10"/>
      <c r="AL378" s="10"/>
      <c r="AM378" s="10"/>
    </row>
    <row r="379" spans="1:39" ht="15.75" customHeight="1" x14ac:dyDescent="0.2">
      <c r="A379" s="18"/>
      <c r="B379" s="135" t="s">
        <v>91</v>
      </c>
      <c r="C379" s="136"/>
      <c r="D379" s="136">
        <f t="shared" ref="D379:AD379" si="271">D383+D389+D395</f>
        <v>0</v>
      </c>
      <c r="E379" s="136">
        <f t="shared" si="271"/>
        <v>0</v>
      </c>
      <c r="F379" s="136">
        <f t="shared" si="271"/>
        <v>0</v>
      </c>
      <c r="G379" s="136">
        <f t="shared" si="271"/>
        <v>0</v>
      </c>
      <c r="H379" s="136">
        <f t="shared" si="271"/>
        <v>0</v>
      </c>
      <c r="I379" s="136">
        <f t="shared" si="271"/>
        <v>0</v>
      </c>
      <c r="J379" s="136">
        <f t="shared" si="271"/>
        <v>0</v>
      </c>
      <c r="K379" s="136">
        <f t="shared" si="271"/>
        <v>0</v>
      </c>
      <c r="L379" s="136">
        <f t="shared" si="271"/>
        <v>0</v>
      </c>
      <c r="M379" s="136">
        <f t="shared" si="271"/>
        <v>0</v>
      </c>
      <c r="N379" s="136">
        <f t="shared" si="271"/>
        <v>0</v>
      </c>
      <c r="O379" s="136">
        <f t="shared" si="271"/>
        <v>0</v>
      </c>
      <c r="P379" s="136">
        <f t="shared" si="271"/>
        <v>0</v>
      </c>
      <c r="Q379" s="136">
        <f t="shared" si="271"/>
        <v>0</v>
      </c>
      <c r="R379" s="136">
        <f t="shared" si="271"/>
        <v>0</v>
      </c>
      <c r="S379" s="136">
        <f t="shared" si="271"/>
        <v>0</v>
      </c>
      <c r="T379" s="136">
        <f t="shared" si="271"/>
        <v>0</v>
      </c>
      <c r="U379" s="136">
        <f t="shared" si="271"/>
        <v>0</v>
      </c>
      <c r="V379" s="136">
        <f t="shared" si="271"/>
        <v>0</v>
      </c>
      <c r="W379" s="136">
        <f t="shared" si="271"/>
        <v>0</v>
      </c>
      <c r="X379" s="136">
        <f t="shared" si="271"/>
        <v>0</v>
      </c>
      <c r="Y379" s="136">
        <f t="shared" si="271"/>
        <v>0</v>
      </c>
      <c r="Z379" s="136">
        <f t="shared" si="271"/>
        <v>0</v>
      </c>
      <c r="AA379" s="136">
        <f t="shared" si="271"/>
        <v>0</v>
      </c>
      <c r="AB379" s="136">
        <f t="shared" si="271"/>
        <v>0</v>
      </c>
      <c r="AC379" s="136">
        <f t="shared" si="271"/>
        <v>0</v>
      </c>
      <c r="AD379" s="136">
        <f t="shared" si="271"/>
        <v>0</v>
      </c>
      <c r="AE379" s="10"/>
      <c r="AF379" s="10"/>
      <c r="AG379" s="10"/>
      <c r="AH379" s="10"/>
      <c r="AI379" s="10"/>
      <c r="AJ379" s="10"/>
      <c r="AK379" s="10"/>
      <c r="AL379" s="10"/>
      <c r="AM379" s="10"/>
    </row>
    <row r="380" spans="1:39" ht="15.75" customHeight="1" x14ac:dyDescent="0.2">
      <c r="A380" s="120"/>
      <c r="B380" s="127"/>
      <c r="C380" s="127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9"/>
      <c r="AE380" s="10"/>
      <c r="AF380" s="10"/>
      <c r="AG380" s="10"/>
      <c r="AH380" s="10"/>
      <c r="AI380" s="10"/>
      <c r="AJ380" s="10"/>
      <c r="AK380" s="10"/>
      <c r="AL380" s="10"/>
      <c r="AM380" s="10"/>
    </row>
    <row r="381" spans="1:39" ht="15.75" customHeight="1" collapsed="1" x14ac:dyDescent="0.2">
      <c r="A381" s="84"/>
      <c r="B381" s="152" t="s">
        <v>92</v>
      </c>
      <c r="C381" s="153"/>
      <c r="D381" s="154"/>
      <c r="E381" s="154"/>
      <c r="F381" s="154"/>
      <c r="G381" s="154"/>
      <c r="H381" s="154"/>
      <c r="I381" s="154"/>
      <c r="J381" s="154"/>
      <c r="K381" s="154"/>
      <c r="L381" s="154"/>
      <c r="M381" s="154"/>
      <c r="N381" s="154"/>
      <c r="O381" s="154"/>
      <c r="P381" s="154"/>
      <c r="Q381" s="154"/>
      <c r="R381" s="154"/>
      <c r="S381" s="154"/>
      <c r="T381" s="154"/>
      <c r="U381" s="154"/>
      <c r="V381" s="154"/>
      <c r="W381" s="154"/>
      <c r="X381" s="154"/>
      <c r="Y381" s="154"/>
      <c r="Z381" s="154"/>
      <c r="AA381" s="154"/>
      <c r="AB381" s="154"/>
      <c r="AC381" s="155"/>
      <c r="AD381" s="9"/>
      <c r="AE381" s="10"/>
      <c r="AF381" s="10"/>
      <c r="AG381" s="10"/>
      <c r="AH381" s="10"/>
      <c r="AI381" s="10"/>
      <c r="AJ381" s="10"/>
      <c r="AK381" s="10"/>
      <c r="AL381" s="10"/>
      <c r="AM381" s="10"/>
    </row>
    <row r="382" spans="1:39" ht="15.75" hidden="1" customHeight="1" outlineLevel="1" x14ac:dyDescent="0.2">
      <c r="A382" s="16"/>
      <c r="B382" s="24" t="s">
        <v>93</v>
      </c>
      <c r="C382" s="125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5"/>
      <c r="AD382" s="9"/>
      <c r="AE382" s="10"/>
      <c r="AF382" s="10"/>
      <c r="AG382" s="10"/>
      <c r="AH382" s="10"/>
      <c r="AI382" s="10"/>
      <c r="AJ382" s="10"/>
      <c r="AK382" s="10"/>
      <c r="AL382" s="10"/>
      <c r="AM382" s="10"/>
    </row>
    <row r="383" spans="1:39" ht="15.75" hidden="1" customHeight="1" outlineLevel="1" x14ac:dyDescent="0.2">
      <c r="A383" s="16"/>
      <c r="B383" s="24" t="s">
        <v>94</v>
      </c>
      <c r="C383" s="125"/>
      <c r="D383" s="6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6"/>
      <c r="AB383" s="5"/>
      <c r="AC383" s="5"/>
      <c r="AD383" s="9"/>
      <c r="AE383" s="10"/>
      <c r="AF383" s="10"/>
      <c r="AG383" s="10"/>
      <c r="AH383" s="10"/>
      <c r="AI383" s="10"/>
      <c r="AJ383" s="10"/>
      <c r="AK383" s="10"/>
      <c r="AL383" s="10"/>
      <c r="AM383" s="10"/>
    </row>
    <row r="384" spans="1:39" ht="15.75" hidden="1" customHeight="1" outlineLevel="1" x14ac:dyDescent="0.2">
      <c r="A384" s="16"/>
      <c r="B384" s="24" t="s">
        <v>95</v>
      </c>
      <c r="C384" s="142">
        <v>0.2</v>
      </c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5"/>
      <c r="AD384" s="9"/>
      <c r="AE384" s="10"/>
      <c r="AF384" s="10"/>
      <c r="AG384" s="10"/>
      <c r="AH384" s="10"/>
      <c r="AI384" s="10"/>
      <c r="AJ384" s="10"/>
      <c r="AK384" s="10"/>
      <c r="AL384" s="10"/>
      <c r="AM384" s="10"/>
    </row>
    <row r="385" spans="1:39" ht="15.75" hidden="1" customHeight="1" outlineLevel="1" x14ac:dyDescent="0.2">
      <c r="A385" s="16"/>
      <c r="B385" s="24" t="s">
        <v>96</v>
      </c>
      <c r="C385" s="15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5"/>
      <c r="AD385" s="9"/>
      <c r="AE385" s="10"/>
      <c r="AF385" s="10"/>
      <c r="AG385" s="10"/>
      <c r="AH385" s="10"/>
      <c r="AI385" s="10"/>
      <c r="AJ385" s="10"/>
      <c r="AK385" s="10"/>
      <c r="AL385" s="10"/>
      <c r="AM385" s="10"/>
    </row>
    <row r="386" spans="1:39" ht="15.75" hidden="1" customHeight="1" outlineLevel="1" x14ac:dyDescent="0.2">
      <c r="A386" s="16"/>
      <c r="B386" s="24" t="s">
        <v>97</v>
      </c>
      <c r="C386" s="156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9"/>
      <c r="AE386" s="10"/>
      <c r="AF386" s="10"/>
      <c r="AG386" s="10"/>
      <c r="AH386" s="10"/>
      <c r="AI386" s="10"/>
      <c r="AJ386" s="10"/>
      <c r="AK386" s="10"/>
      <c r="AL386" s="10"/>
      <c r="AM386" s="10"/>
    </row>
    <row r="387" spans="1:39" ht="15.75" customHeight="1" collapsed="1" x14ac:dyDescent="0.2">
      <c r="A387" s="16"/>
      <c r="B387" s="152" t="s">
        <v>92</v>
      </c>
      <c r="C387" s="156"/>
      <c r="D387" s="154"/>
      <c r="E387" s="154"/>
      <c r="F387" s="154"/>
      <c r="G387" s="154"/>
      <c r="H387" s="154"/>
      <c r="I387" s="154"/>
      <c r="J387" s="154"/>
      <c r="K387" s="154"/>
      <c r="L387" s="154"/>
      <c r="M387" s="154"/>
      <c r="N387" s="154"/>
      <c r="O387" s="154"/>
      <c r="P387" s="154"/>
      <c r="Q387" s="154"/>
      <c r="R387" s="154"/>
      <c r="S387" s="154"/>
      <c r="T387" s="154"/>
      <c r="U387" s="154"/>
      <c r="V387" s="154"/>
      <c r="W387" s="154"/>
      <c r="X387" s="154"/>
      <c r="Y387" s="154"/>
      <c r="Z387" s="154"/>
      <c r="AA387" s="154"/>
      <c r="AB387" s="154"/>
      <c r="AC387" s="5"/>
      <c r="AD387" s="9"/>
      <c r="AE387" s="10"/>
      <c r="AF387" s="10"/>
      <c r="AG387" s="10"/>
      <c r="AH387" s="10"/>
      <c r="AI387" s="10"/>
      <c r="AJ387" s="10"/>
      <c r="AK387" s="10"/>
      <c r="AL387" s="10"/>
      <c r="AM387" s="10"/>
    </row>
    <row r="388" spans="1:39" ht="15.75" hidden="1" customHeight="1" outlineLevel="1" x14ac:dyDescent="0.2">
      <c r="A388" s="16"/>
      <c r="B388" s="24" t="s">
        <v>93</v>
      </c>
      <c r="C388" s="125"/>
      <c r="D388" s="51"/>
      <c r="E388" s="51"/>
      <c r="F388" s="51"/>
      <c r="G388" s="51"/>
      <c r="H388" s="51"/>
      <c r="I388" s="51"/>
      <c r="J388" s="51"/>
      <c r="K388" s="51"/>
      <c r="L388" s="51"/>
      <c r="M388" s="51"/>
      <c r="N388" s="51"/>
      <c r="O388" s="51"/>
      <c r="P388" s="51"/>
      <c r="Q388" s="51"/>
      <c r="R388" s="51"/>
      <c r="S388" s="51"/>
      <c r="T388" s="51"/>
      <c r="U388" s="51"/>
      <c r="V388" s="51"/>
      <c r="W388" s="51"/>
      <c r="X388" s="51"/>
      <c r="Y388" s="51"/>
      <c r="Z388" s="51"/>
      <c r="AA388" s="51"/>
      <c r="AB388" s="51"/>
      <c r="AC388" s="5"/>
      <c r="AD388" s="9"/>
      <c r="AE388" s="10"/>
      <c r="AF388" s="10"/>
      <c r="AG388" s="10"/>
      <c r="AH388" s="10"/>
      <c r="AI388" s="10"/>
      <c r="AJ388" s="10"/>
      <c r="AK388" s="10"/>
      <c r="AL388" s="10"/>
      <c r="AM388" s="10"/>
    </row>
    <row r="389" spans="1:39" ht="15.75" hidden="1" customHeight="1" outlineLevel="1" x14ac:dyDescent="0.2">
      <c r="A389" s="16"/>
      <c r="B389" s="24" t="s">
        <v>94</v>
      </c>
      <c r="C389" s="125"/>
      <c r="D389" s="51"/>
      <c r="E389" s="51"/>
      <c r="F389" s="51"/>
      <c r="G389" s="51"/>
      <c r="H389" s="51"/>
      <c r="I389" s="51"/>
      <c r="J389" s="51"/>
      <c r="K389" s="51"/>
      <c r="L389" s="51"/>
      <c r="M389" s="51"/>
      <c r="N389" s="51"/>
      <c r="O389" s="51"/>
      <c r="P389" s="51"/>
      <c r="Q389" s="51"/>
      <c r="R389" s="51"/>
      <c r="S389" s="51"/>
      <c r="T389" s="51"/>
      <c r="U389" s="51"/>
      <c r="V389" s="51"/>
      <c r="W389" s="51"/>
      <c r="X389" s="51"/>
      <c r="Y389" s="51"/>
      <c r="Z389" s="51"/>
      <c r="AA389" s="51"/>
      <c r="AB389" s="51"/>
      <c r="AC389" s="5"/>
      <c r="AD389" s="9"/>
      <c r="AE389" s="10"/>
      <c r="AF389" s="10"/>
      <c r="AG389" s="10"/>
      <c r="AH389" s="10"/>
      <c r="AI389" s="10"/>
      <c r="AJ389" s="10"/>
      <c r="AK389" s="10"/>
      <c r="AL389" s="10"/>
      <c r="AM389" s="10"/>
    </row>
    <row r="390" spans="1:39" ht="15.75" hidden="1" customHeight="1" outlineLevel="1" x14ac:dyDescent="0.2">
      <c r="A390" s="16"/>
      <c r="B390" s="24" t="s">
        <v>95</v>
      </c>
      <c r="C390" s="157"/>
      <c r="D390" s="158"/>
      <c r="E390" s="158"/>
      <c r="F390" s="158"/>
      <c r="G390" s="158"/>
      <c r="H390" s="158"/>
      <c r="I390" s="158"/>
      <c r="J390" s="158"/>
      <c r="K390" s="158"/>
      <c r="L390" s="158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5"/>
      <c r="AD390" s="9"/>
      <c r="AE390" s="10"/>
      <c r="AF390" s="10"/>
      <c r="AG390" s="10"/>
      <c r="AH390" s="10"/>
      <c r="AI390" s="10"/>
      <c r="AJ390" s="10"/>
      <c r="AK390" s="10"/>
      <c r="AL390" s="10"/>
      <c r="AM390" s="10"/>
    </row>
    <row r="391" spans="1:39" ht="15.75" hidden="1" customHeight="1" outlineLevel="1" x14ac:dyDescent="0.2">
      <c r="A391" s="16"/>
      <c r="B391" s="24" t="s">
        <v>96</v>
      </c>
      <c r="C391" s="156"/>
      <c r="D391" s="51"/>
      <c r="E391" s="51"/>
      <c r="F391" s="51"/>
      <c r="G391" s="51"/>
      <c r="H391" s="51"/>
      <c r="I391" s="51"/>
      <c r="J391" s="51"/>
      <c r="K391" s="51"/>
      <c r="L391" s="51"/>
      <c r="M391" s="51"/>
      <c r="N391" s="51"/>
      <c r="O391" s="51"/>
      <c r="P391" s="51"/>
      <c r="Q391" s="51"/>
      <c r="R391" s="51"/>
      <c r="S391" s="51"/>
      <c r="T391" s="51"/>
      <c r="U391" s="51"/>
      <c r="V391" s="51"/>
      <c r="W391" s="51"/>
      <c r="X391" s="51"/>
      <c r="Y391" s="51"/>
      <c r="Z391" s="51"/>
      <c r="AA391" s="51"/>
      <c r="AB391" s="51"/>
      <c r="AC391" s="5"/>
      <c r="AD391" s="9"/>
      <c r="AE391" s="10"/>
      <c r="AF391" s="10"/>
      <c r="AG391" s="10"/>
      <c r="AH391" s="10"/>
      <c r="AI391" s="10"/>
      <c r="AJ391" s="10"/>
      <c r="AK391" s="10"/>
      <c r="AL391" s="10"/>
      <c r="AM391" s="10"/>
    </row>
    <row r="392" spans="1:39" ht="15.75" hidden="1" customHeight="1" outlineLevel="1" x14ac:dyDescent="0.2">
      <c r="A392" s="16"/>
      <c r="B392" s="24" t="s">
        <v>97</v>
      </c>
      <c r="C392" s="156"/>
      <c r="D392" s="51"/>
      <c r="E392" s="51"/>
      <c r="F392" s="51"/>
      <c r="G392" s="51"/>
      <c r="H392" s="51"/>
      <c r="I392" s="51"/>
      <c r="J392" s="51"/>
      <c r="K392" s="51"/>
      <c r="L392" s="51"/>
      <c r="M392" s="51"/>
      <c r="N392" s="51"/>
      <c r="O392" s="51"/>
      <c r="P392" s="51"/>
      <c r="Q392" s="51"/>
      <c r="R392" s="51"/>
      <c r="S392" s="51"/>
      <c r="T392" s="51"/>
      <c r="U392" s="51"/>
      <c r="V392" s="51"/>
      <c r="W392" s="51"/>
      <c r="X392" s="51"/>
      <c r="Y392" s="51"/>
      <c r="Z392" s="51"/>
      <c r="AA392" s="51"/>
      <c r="AB392" s="51"/>
      <c r="AC392" s="5"/>
      <c r="AD392" s="9"/>
      <c r="AE392" s="10"/>
      <c r="AF392" s="10"/>
      <c r="AG392" s="10"/>
      <c r="AH392" s="10"/>
      <c r="AI392" s="10"/>
      <c r="AJ392" s="10"/>
      <c r="AK392" s="10"/>
      <c r="AL392" s="10"/>
      <c r="AM392" s="10"/>
    </row>
    <row r="393" spans="1:39" ht="15.75" customHeight="1" collapsed="1" x14ac:dyDescent="0.2">
      <c r="A393" s="16"/>
      <c r="B393" s="152" t="s">
        <v>92</v>
      </c>
      <c r="C393" s="156"/>
      <c r="D393" s="154"/>
      <c r="E393" s="154"/>
      <c r="F393" s="154"/>
      <c r="G393" s="154"/>
      <c r="H393" s="154"/>
      <c r="I393" s="154"/>
      <c r="J393" s="154"/>
      <c r="K393" s="154"/>
      <c r="L393" s="154"/>
      <c r="M393" s="154"/>
      <c r="N393" s="154"/>
      <c r="O393" s="154"/>
      <c r="P393" s="154"/>
      <c r="Q393" s="154"/>
      <c r="R393" s="154"/>
      <c r="S393" s="154"/>
      <c r="T393" s="154"/>
      <c r="U393" s="154"/>
      <c r="V393" s="154"/>
      <c r="W393" s="154"/>
      <c r="X393" s="154"/>
      <c r="Y393" s="154"/>
      <c r="Z393" s="154"/>
      <c r="AA393" s="154"/>
      <c r="AB393" s="154"/>
      <c r="AC393" s="5"/>
      <c r="AD393" s="9"/>
      <c r="AE393" s="10"/>
      <c r="AF393" s="10"/>
      <c r="AG393" s="10"/>
      <c r="AH393" s="10"/>
      <c r="AI393" s="10"/>
      <c r="AJ393" s="10"/>
      <c r="AK393" s="10"/>
      <c r="AL393" s="10"/>
      <c r="AM393" s="10"/>
    </row>
    <row r="394" spans="1:39" ht="15.75" hidden="1" customHeight="1" outlineLevel="1" x14ac:dyDescent="0.2">
      <c r="A394" s="16"/>
      <c r="B394" s="24" t="s">
        <v>93</v>
      </c>
      <c r="C394" s="125"/>
      <c r="D394" s="158"/>
      <c r="E394" s="158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5"/>
      <c r="AD394" s="9"/>
      <c r="AE394" s="10"/>
      <c r="AF394" s="10"/>
      <c r="AG394" s="10"/>
      <c r="AH394" s="10"/>
      <c r="AI394" s="10"/>
      <c r="AJ394" s="10"/>
      <c r="AK394" s="10"/>
      <c r="AL394" s="10"/>
      <c r="AM394" s="10"/>
    </row>
    <row r="395" spans="1:39" ht="15.75" hidden="1" customHeight="1" outlineLevel="1" x14ac:dyDescent="0.2">
      <c r="A395" s="16"/>
      <c r="B395" s="24" t="s">
        <v>94</v>
      </c>
      <c r="C395" s="125"/>
      <c r="D395" s="51"/>
      <c r="E395" s="51"/>
      <c r="F395" s="51"/>
      <c r="G395" s="51"/>
      <c r="H395" s="51"/>
      <c r="I395" s="51"/>
      <c r="J395" s="51"/>
      <c r="K395" s="51"/>
      <c r="L395" s="51"/>
      <c r="M395" s="51"/>
      <c r="N395" s="51"/>
      <c r="O395" s="51"/>
      <c r="P395" s="51"/>
      <c r="Q395" s="51"/>
      <c r="R395" s="51"/>
      <c r="S395" s="51"/>
      <c r="T395" s="51"/>
      <c r="U395" s="51"/>
      <c r="V395" s="51"/>
      <c r="W395" s="51"/>
      <c r="X395" s="51"/>
      <c r="Y395" s="51"/>
      <c r="Z395" s="51"/>
      <c r="AA395" s="51"/>
      <c r="AB395" s="51"/>
      <c r="AC395" s="5"/>
      <c r="AD395" s="9"/>
      <c r="AE395" s="10"/>
      <c r="AF395" s="10"/>
      <c r="AG395" s="10"/>
      <c r="AH395" s="10"/>
      <c r="AI395" s="10"/>
      <c r="AJ395" s="10"/>
      <c r="AK395" s="10"/>
      <c r="AL395" s="10"/>
      <c r="AM395" s="10"/>
    </row>
    <row r="396" spans="1:39" ht="15.75" hidden="1" customHeight="1" outlineLevel="1" x14ac:dyDescent="0.2">
      <c r="A396" s="16"/>
      <c r="B396" s="24" t="s">
        <v>95</v>
      </c>
      <c r="C396" s="159"/>
      <c r="D396" s="158"/>
      <c r="E396" s="158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5"/>
      <c r="AD396" s="9"/>
      <c r="AE396" s="10"/>
      <c r="AF396" s="10"/>
      <c r="AG396" s="10"/>
      <c r="AH396" s="10"/>
      <c r="AI396" s="10"/>
      <c r="AJ396" s="10"/>
      <c r="AK396" s="10"/>
      <c r="AL396" s="10"/>
      <c r="AM396" s="10"/>
    </row>
    <row r="397" spans="1:39" ht="15.75" hidden="1" customHeight="1" outlineLevel="1" x14ac:dyDescent="0.2">
      <c r="A397" s="16"/>
      <c r="B397" s="24" t="s">
        <v>96</v>
      </c>
      <c r="C397" s="156"/>
      <c r="D397" s="51"/>
      <c r="E397" s="51"/>
      <c r="F397" s="51"/>
      <c r="G397" s="51"/>
      <c r="H397" s="51"/>
      <c r="I397" s="51"/>
      <c r="J397" s="51"/>
      <c r="K397" s="51"/>
      <c r="L397" s="51"/>
      <c r="M397" s="51"/>
      <c r="N397" s="51"/>
      <c r="O397" s="51"/>
      <c r="P397" s="51"/>
      <c r="Q397" s="51"/>
      <c r="R397" s="51"/>
      <c r="S397" s="51"/>
      <c r="T397" s="51"/>
      <c r="U397" s="51"/>
      <c r="V397" s="51"/>
      <c r="W397" s="51"/>
      <c r="X397" s="51"/>
      <c r="Y397" s="51"/>
      <c r="Z397" s="51"/>
      <c r="AA397" s="51"/>
      <c r="AB397" s="51"/>
      <c r="AC397" s="5"/>
      <c r="AD397" s="9"/>
      <c r="AE397" s="10"/>
      <c r="AF397" s="10"/>
      <c r="AG397" s="10"/>
      <c r="AH397" s="10"/>
      <c r="AI397" s="10"/>
      <c r="AJ397" s="10"/>
      <c r="AK397" s="10"/>
      <c r="AL397" s="10"/>
      <c r="AM397" s="10"/>
    </row>
    <row r="398" spans="1:39" ht="15.75" hidden="1" customHeight="1" outlineLevel="1" x14ac:dyDescent="0.2">
      <c r="A398" s="16"/>
      <c r="B398" s="24" t="s">
        <v>97</v>
      </c>
      <c r="C398" s="156"/>
      <c r="D398" s="51"/>
      <c r="E398" s="51"/>
      <c r="F398" s="51"/>
      <c r="G398" s="51"/>
      <c r="H398" s="51"/>
      <c r="I398" s="51"/>
      <c r="J398" s="51"/>
      <c r="K398" s="51"/>
      <c r="L398" s="51"/>
      <c r="M398" s="51"/>
      <c r="N398" s="51"/>
      <c r="O398" s="51"/>
      <c r="P398" s="51"/>
      <c r="Q398" s="51"/>
      <c r="R398" s="51"/>
      <c r="S398" s="51"/>
      <c r="T398" s="51"/>
      <c r="U398" s="51"/>
      <c r="V398" s="51"/>
      <c r="W398" s="51"/>
      <c r="X398" s="51"/>
      <c r="Y398" s="51"/>
      <c r="Z398" s="51"/>
      <c r="AA398" s="51"/>
      <c r="AB398" s="51"/>
      <c r="AC398" s="5"/>
      <c r="AD398" s="9"/>
      <c r="AE398" s="10"/>
      <c r="AF398" s="10"/>
      <c r="AG398" s="10"/>
      <c r="AH398" s="10"/>
      <c r="AI398" s="10"/>
      <c r="AJ398" s="10"/>
      <c r="AK398" s="10"/>
      <c r="AL398" s="10"/>
      <c r="AM398" s="10"/>
    </row>
    <row r="399" spans="1:39" ht="15.75" customHeight="1" x14ac:dyDescent="0.2">
      <c r="A399" s="120"/>
      <c r="B399" s="127"/>
      <c r="C399" s="160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9"/>
      <c r="AE399" s="10"/>
      <c r="AF399" s="10"/>
      <c r="AG399" s="10"/>
      <c r="AH399" s="10"/>
      <c r="AI399" s="10"/>
      <c r="AJ399" s="10"/>
      <c r="AK399" s="10"/>
      <c r="AL399" s="10"/>
      <c r="AM399" s="10"/>
    </row>
    <row r="400" spans="1:39" ht="15.75" customHeight="1" x14ac:dyDescent="0.2">
      <c r="A400" s="16"/>
      <c r="B400" s="24"/>
      <c r="C400" s="156"/>
      <c r="D400" s="70"/>
      <c r="E400" s="70"/>
      <c r="F400" s="70"/>
      <c r="G400" s="70"/>
      <c r="H400" s="70"/>
      <c r="I400" s="70"/>
      <c r="J400" s="70"/>
      <c r="K400" s="70"/>
      <c r="L400" s="70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9"/>
      <c r="AE400" s="10"/>
      <c r="AF400" s="10"/>
      <c r="AG400" s="10"/>
      <c r="AH400" s="10"/>
      <c r="AI400" s="10"/>
      <c r="AJ400" s="10"/>
      <c r="AK400" s="10"/>
      <c r="AL400" s="10"/>
      <c r="AM400" s="10"/>
    </row>
    <row r="401" spans="1:39" ht="15.75" customHeight="1" collapsed="1" x14ac:dyDescent="0.2">
      <c r="A401" s="18"/>
      <c r="B401" s="135" t="s">
        <v>98</v>
      </c>
      <c r="C401" s="136"/>
      <c r="D401" s="136">
        <f t="shared" ref="D401:AD401" si="272">SUM(D402:D406)</f>
        <v>0</v>
      </c>
      <c r="E401" s="136">
        <f t="shared" si="272"/>
        <v>0</v>
      </c>
      <c r="F401" s="136">
        <f t="shared" si="272"/>
        <v>0</v>
      </c>
      <c r="G401" s="136">
        <f t="shared" si="272"/>
        <v>0</v>
      </c>
      <c r="H401" s="136">
        <f t="shared" si="272"/>
        <v>0</v>
      </c>
      <c r="I401" s="136">
        <f t="shared" si="272"/>
        <v>0</v>
      </c>
      <c r="J401" s="136">
        <f t="shared" si="272"/>
        <v>0</v>
      </c>
      <c r="K401" s="136">
        <f t="shared" si="272"/>
        <v>0</v>
      </c>
      <c r="L401" s="136">
        <f t="shared" si="272"/>
        <v>0</v>
      </c>
      <c r="M401" s="136">
        <f t="shared" si="272"/>
        <v>0</v>
      </c>
      <c r="N401" s="136">
        <f t="shared" si="272"/>
        <v>0</v>
      </c>
      <c r="O401" s="136">
        <f t="shared" si="272"/>
        <v>0</v>
      </c>
      <c r="P401" s="136">
        <f t="shared" si="272"/>
        <v>0</v>
      </c>
      <c r="Q401" s="136">
        <f t="shared" si="272"/>
        <v>0</v>
      </c>
      <c r="R401" s="136">
        <f t="shared" si="272"/>
        <v>0</v>
      </c>
      <c r="S401" s="136">
        <f t="shared" si="272"/>
        <v>0</v>
      </c>
      <c r="T401" s="136">
        <f t="shared" si="272"/>
        <v>0</v>
      </c>
      <c r="U401" s="136">
        <f t="shared" si="272"/>
        <v>0</v>
      </c>
      <c r="V401" s="136">
        <f t="shared" si="272"/>
        <v>0</v>
      </c>
      <c r="W401" s="136">
        <f t="shared" si="272"/>
        <v>0</v>
      </c>
      <c r="X401" s="136">
        <f t="shared" si="272"/>
        <v>0</v>
      </c>
      <c r="Y401" s="136">
        <f t="shared" si="272"/>
        <v>0</v>
      </c>
      <c r="Z401" s="136">
        <f t="shared" si="272"/>
        <v>0</v>
      </c>
      <c r="AA401" s="136">
        <f t="shared" si="272"/>
        <v>0</v>
      </c>
      <c r="AB401" s="136">
        <f t="shared" si="272"/>
        <v>0</v>
      </c>
      <c r="AC401" s="136">
        <f t="shared" si="272"/>
        <v>0</v>
      </c>
      <c r="AD401" s="136">
        <f t="shared" si="272"/>
        <v>0</v>
      </c>
      <c r="AE401" s="10"/>
      <c r="AF401" s="10"/>
      <c r="AG401" s="10"/>
      <c r="AH401" s="10"/>
      <c r="AI401" s="10"/>
      <c r="AJ401" s="10"/>
      <c r="AK401" s="10"/>
      <c r="AL401" s="10"/>
      <c r="AM401" s="10"/>
    </row>
    <row r="402" spans="1:39" ht="15.75" hidden="1" customHeight="1" outlineLevel="1" x14ac:dyDescent="0.2">
      <c r="A402" s="25"/>
      <c r="B402" s="134"/>
      <c r="C402" s="134"/>
      <c r="D402" s="72"/>
      <c r="E402" s="72"/>
      <c r="F402" s="72"/>
      <c r="G402" s="72"/>
      <c r="H402" s="72"/>
      <c r="I402" s="72"/>
      <c r="J402" s="72"/>
      <c r="K402" s="72"/>
      <c r="L402" s="72"/>
      <c r="M402" s="72"/>
      <c r="N402" s="72"/>
      <c r="O402" s="72"/>
      <c r="P402" s="72"/>
      <c r="Q402" s="72"/>
      <c r="R402" s="72"/>
      <c r="S402" s="72"/>
      <c r="T402" s="72"/>
      <c r="U402" s="72"/>
      <c r="V402" s="72"/>
      <c r="W402" s="72"/>
      <c r="X402" s="72"/>
      <c r="Y402" s="72"/>
      <c r="Z402" s="72"/>
      <c r="AA402" s="72"/>
      <c r="AB402" s="72"/>
      <c r="AC402" s="72"/>
      <c r="AD402" s="9"/>
      <c r="AE402" s="10"/>
      <c r="AF402" s="10"/>
      <c r="AG402" s="10"/>
      <c r="AH402" s="10"/>
      <c r="AI402" s="10"/>
      <c r="AJ402" s="10"/>
      <c r="AK402" s="10"/>
      <c r="AL402" s="10"/>
      <c r="AM402" s="10"/>
    </row>
    <row r="403" spans="1:39" ht="15.75" hidden="1" customHeight="1" outlineLevel="1" x14ac:dyDescent="0.2">
      <c r="A403" s="120"/>
      <c r="B403" s="127" t="s">
        <v>99</v>
      </c>
      <c r="C403" s="127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9"/>
      <c r="AE403" s="10"/>
      <c r="AF403" s="10"/>
      <c r="AG403" s="10"/>
      <c r="AH403" s="10"/>
      <c r="AI403" s="10"/>
      <c r="AJ403" s="10"/>
      <c r="AK403" s="10"/>
      <c r="AL403" s="10"/>
      <c r="AM403" s="10"/>
    </row>
    <row r="404" spans="1:39" ht="15.75" hidden="1" customHeight="1" outlineLevel="1" x14ac:dyDescent="0.2">
      <c r="A404" s="120"/>
      <c r="B404" s="127"/>
      <c r="C404" s="127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9"/>
      <c r="AE404" s="10"/>
      <c r="AF404" s="10"/>
      <c r="AG404" s="10"/>
      <c r="AH404" s="10"/>
      <c r="AI404" s="10"/>
      <c r="AJ404" s="10"/>
      <c r="AK404" s="10"/>
      <c r="AL404" s="10"/>
      <c r="AM404" s="10"/>
    </row>
    <row r="405" spans="1:39" ht="15.75" hidden="1" customHeight="1" outlineLevel="1" x14ac:dyDescent="0.2">
      <c r="A405" s="120"/>
      <c r="B405" s="18" t="s">
        <v>100</v>
      </c>
      <c r="C405" s="122"/>
      <c r="D405" s="161"/>
      <c r="E405" s="161"/>
      <c r="F405" s="161"/>
      <c r="G405" s="161"/>
      <c r="H405" s="161"/>
      <c r="I405" s="161"/>
      <c r="J405" s="161"/>
      <c r="K405" s="161"/>
      <c r="L405" s="161"/>
      <c r="M405" s="161"/>
      <c r="N405" s="161"/>
      <c r="O405" s="161"/>
      <c r="P405" s="161"/>
      <c r="Q405" s="161"/>
      <c r="R405" s="161"/>
      <c r="S405" s="161"/>
      <c r="T405" s="161"/>
      <c r="U405" s="161"/>
      <c r="V405" s="161"/>
      <c r="W405" s="161"/>
      <c r="X405" s="161"/>
      <c r="Y405" s="161"/>
      <c r="Z405" s="161"/>
      <c r="AA405" s="161"/>
      <c r="AB405" s="161"/>
      <c r="AC405" s="161"/>
      <c r="AD405" s="161"/>
      <c r="AE405" s="10"/>
      <c r="AF405" s="10"/>
      <c r="AG405" s="10"/>
      <c r="AH405" s="10"/>
      <c r="AI405" s="10"/>
      <c r="AJ405" s="10"/>
      <c r="AK405" s="10"/>
      <c r="AL405" s="10"/>
      <c r="AM405" s="10"/>
    </row>
    <row r="406" spans="1:39" ht="15.75" hidden="1" customHeight="1" outlineLevel="1" x14ac:dyDescent="0.2">
      <c r="A406" s="25"/>
      <c r="B406" s="34" t="s">
        <v>101</v>
      </c>
      <c r="C406" s="162">
        <v>0</v>
      </c>
      <c r="D406" s="122"/>
      <c r="E406" s="122"/>
      <c r="F406" s="72"/>
      <c r="G406" s="72"/>
      <c r="H406" s="72"/>
      <c r="I406" s="72"/>
      <c r="J406" s="72"/>
      <c r="K406" s="72"/>
      <c r="L406" s="72"/>
      <c r="M406" s="72"/>
      <c r="N406" s="72"/>
      <c r="O406" s="72"/>
      <c r="P406" s="72"/>
      <c r="Q406" s="72"/>
      <c r="R406" s="72"/>
      <c r="S406" s="72"/>
      <c r="T406" s="72"/>
      <c r="U406" s="72"/>
      <c r="V406" s="72"/>
      <c r="W406" s="72"/>
      <c r="X406" s="72"/>
      <c r="Y406" s="72"/>
      <c r="Z406" s="72"/>
      <c r="AA406" s="72"/>
      <c r="AB406" s="72"/>
      <c r="AC406" s="5"/>
      <c r="AD406" s="9"/>
      <c r="AE406" s="10"/>
      <c r="AF406" s="10"/>
      <c r="AG406" s="10"/>
      <c r="AH406" s="10"/>
      <c r="AI406" s="10"/>
      <c r="AJ406" s="10"/>
      <c r="AK406" s="10"/>
      <c r="AL406" s="10"/>
      <c r="AM406" s="10"/>
    </row>
    <row r="407" spans="1:39" ht="15.75" hidden="1" customHeight="1" outlineLevel="1" x14ac:dyDescent="0.2">
      <c r="A407" s="25"/>
      <c r="B407" s="34" t="s">
        <v>102</v>
      </c>
      <c r="C407" s="122"/>
      <c r="D407" s="122">
        <f t="shared" ref="D407:P407" si="273">IF(D405="",C408,D405)</f>
        <v>0</v>
      </c>
      <c r="E407" s="122">
        <f t="shared" si="273"/>
        <v>0</v>
      </c>
      <c r="F407" s="122">
        <f t="shared" si="273"/>
        <v>0</v>
      </c>
      <c r="G407" s="122">
        <f t="shared" si="273"/>
        <v>0</v>
      </c>
      <c r="H407" s="122">
        <f t="shared" si="273"/>
        <v>0</v>
      </c>
      <c r="I407" s="122">
        <f t="shared" si="273"/>
        <v>0</v>
      </c>
      <c r="J407" s="122">
        <f t="shared" si="273"/>
        <v>0</v>
      </c>
      <c r="K407" s="122">
        <f t="shared" si="273"/>
        <v>0</v>
      </c>
      <c r="L407" s="122">
        <f t="shared" si="273"/>
        <v>0</v>
      </c>
      <c r="M407" s="122">
        <f t="shared" si="273"/>
        <v>0</v>
      </c>
      <c r="N407" s="122">
        <f t="shared" si="273"/>
        <v>0</v>
      </c>
      <c r="O407" s="122">
        <f t="shared" si="273"/>
        <v>0</v>
      </c>
      <c r="P407" s="122">
        <f t="shared" si="273"/>
        <v>0</v>
      </c>
      <c r="Q407" s="122"/>
      <c r="R407" s="122"/>
      <c r="S407" s="122"/>
      <c r="T407" s="122"/>
      <c r="U407" s="122"/>
      <c r="V407" s="122"/>
      <c r="W407" s="122"/>
      <c r="X407" s="122"/>
      <c r="Y407" s="122"/>
      <c r="Z407" s="122"/>
      <c r="AA407" s="122"/>
      <c r="AB407" s="122"/>
      <c r="AC407" s="5"/>
      <c r="AD407" s="9"/>
      <c r="AE407" s="10"/>
      <c r="AF407" s="10"/>
      <c r="AG407" s="10"/>
      <c r="AH407" s="10"/>
      <c r="AI407" s="10"/>
      <c r="AJ407" s="10"/>
      <c r="AK407" s="10"/>
      <c r="AL407" s="10"/>
      <c r="AM407" s="10"/>
    </row>
    <row r="408" spans="1:39" ht="15.75" hidden="1" customHeight="1" outlineLevel="1" x14ac:dyDescent="0.2">
      <c r="A408" s="25"/>
      <c r="B408" s="34" t="s">
        <v>103</v>
      </c>
      <c r="C408" s="122"/>
      <c r="D408" s="163"/>
      <c r="E408" s="163">
        <f t="shared" ref="E408:P408" si="274">IF(E407&gt;0,E407-$C$406,IF(E405="",0,E405-$C$406))</f>
        <v>0</v>
      </c>
      <c r="F408" s="163">
        <f t="shared" si="274"/>
        <v>0</v>
      </c>
      <c r="G408" s="163">
        <f t="shared" si="274"/>
        <v>0</v>
      </c>
      <c r="H408" s="163">
        <f t="shared" si="274"/>
        <v>0</v>
      </c>
      <c r="I408" s="163">
        <f t="shared" si="274"/>
        <v>0</v>
      </c>
      <c r="J408" s="163">
        <f t="shared" si="274"/>
        <v>0</v>
      </c>
      <c r="K408" s="163">
        <f t="shared" si="274"/>
        <v>0</v>
      </c>
      <c r="L408" s="163">
        <f t="shared" si="274"/>
        <v>0</v>
      </c>
      <c r="M408" s="163">
        <f t="shared" si="274"/>
        <v>0</v>
      </c>
      <c r="N408" s="163">
        <f t="shared" si="274"/>
        <v>0</v>
      </c>
      <c r="O408" s="163">
        <f t="shared" si="274"/>
        <v>0</v>
      </c>
      <c r="P408" s="163">
        <f t="shared" si="274"/>
        <v>0</v>
      </c>
      <c r="Q408" s="163"/>
      <c r="R408" s="163"/>
      <c r="S408" s="163"/>
      <c r="T408" s="163"/>
      <c r="U408" s="163"/>
      <c r="V408" s="163"/>
      <c r="W408" s="163"/>
      <c r="X408" s="163"/>
      <c r="Y408" s="163"/>
      <c r="Z408" s="163"/>
      <c r="AA408" s="163"/>
      <c r="AB408" s="163"/>
      <c r="AC408" s="5"/>
      <c r="AD408" s="9"/>
      <c r="AE408" s="10"/>
      <c r="AF408" s="10"/>
      <c r="AG408" s="10"/>
      <c r="AH408" s="10"/>
      <c r="AI408" s="10"/>
      <c r="AJ408" s="10"/>
      <c r="AK408" s="10"/>
      <c r="AL408" s="10"/>
      <c r="AM408" s="10"/>
    </row>
    <row r="409" spans="1:39" ht="15.75" hidden="1" customHeight="1" outlineLevel="1" x14ac:dyDescent="0.2">
      <c r="A409" s="25"/>
      <c r="B409" s="34" t="s">
        <v>104</v>
      </c>
      <c r="C409" s="122"/>
      <c r="D409" s="161"/>
      <c r="E409" s="161"/>
      <c r="F409" s="161"/>
      <c r="G409" s="161"/>
      <c r="H409" s="161"/>
      <c r="I409" s="161"/>
      <c r="J409" s="161"/>
      <c r="K409" s="161"/>
      <c r="L409" s="161"/>
      <c r="M409" s="161"/>
      <c r="N409" s="161"/>
      <c r="O409" s="161"/>
      <c r="P409" s="161"/>
      <c r="Q409" s="161"/>
      <c r="R409" s="161"/>
      <c r="S409" s="161"/>
      <c r="T409" s="161"/>
      <c r="U409" s="161"/>
      <c r="V409" s="161"/>
      <c r="W409" s="161"/>
      <c r="X409" s="161"/>
      <c r="Y409" s="161"/>
      <c r="Z409" s="161"/>
      <c r="AA409" s="161"/>
      <c r="AB409" s="161"/>
      <c r="AC409" s="5"/>
      <c r="AD409" s="164"/>
      <c r="AE409" s="10"/>
      <c r="AF409" s="10"/>
      <c r="AG409" s="10"/>
      <c r="AH409" s="10"/>
      <c r="AI409" s="10"/>
      <c r="AJ409" s="10"/>
      <c r="AK409" s="10"/>
      <c r="AL409" s="10"/>
      <c r="AM409" s="10"/>
    </row>
    <row r="410" spans="1:39" ht="15.75" hidden="1" customHeight="1" outlineLevel="1" x14ac:dyDescent="0.2">
      <c r="A410" s="25"/>
      <c r="B410" s="134"/>
      <c r="C410" s="134"/>
      <c r="D410" s="72"/>
      <c r="E410" s="72"/>
      <c r="F410" s="72"/>
      <c r="G410" s="72"/>
      <c r="H410" s="72"/>
      <c r="I410" s="72"/>
      <c r="J410" s="72"/>
      <c r="K410" s="72"/>
      <c r="L410" s="72"/>
      <c r="M410" s="72"/>
      <c r="N410" s="72"/>
      <c r="O410" s="72"/>
      <c r="P410" s="72"/>
      <c r="Q410" s="72"/>
      <c r="R410" s="72"/>
      <c r="S410" s="72"/>
      <c r="T410" s="72"/>
      <c r="U410" s="72"/>
      <c r="V410" s="72"/>
      <c r="W410" s="72"/>
      <c r="X410" s="72"/>
      <c r="Y410" s="72"/>
      <c r="Z410" s="72"/>
      <c r="AA410" s="72"/>
      <c r="AB410" s="72"/>
      <c r="AC410" s="72"/>
      <c r="AD410" s="9"/>
      <c r="AE410" s="10"/>
      <c r="AF410" s="10"/>
      <c r="AG410" s="10"/>
      <c r="AH410" s="10"/>
      <c r="AI410" s="10"/>
      <c r="AJ410" s="10"/>
      <c r="AK410" s="10"/>
      <c r="AL410" s="10"/>
      <c r="AM410" s="10"/>
    </row>
    <row r="411" spans="1:39" ht="15.75" customHeight="1" x14ac:dyDescent="0.2">
      <c r="A411" s="25"/>
      <c r="B411" s="134"/>
      <c r="C411" s="134"/>
      <c r="D411" s="72"/>
      <c r="E411" s="72"/>
      <c r="F411" s="72"/>
      <c r="G411" s="72"/>
      <c r="H411" s="72"/>
      <c r="I411" s="72"/>
      <c r="J411" s="72"/>
      <c r="K411" s="72"/>
      <c r="L411" s="72"/>
      <c r="M411" s="72"/>
      <c r="N411" s="72"/>
      <c r="O411" s="72"/>
      <c r="P411" s="72"/>
      <c r="Q411" s="72"/>
      <c r="R411" s="72"/>
      <c r="S411" s="72"/>
      <c r="T411" s="72"/>
      <c r="U411" s="72"/>
      <c r="V411" s="72"/>
      <c r="W411" s="72"/>
      <c r="X411" s="72"/>
      <c r="Y411" s="72"/>
      <c r="Z411" s="72"/>
      <c r="AA411" s="72"/>
      <c r="AB411" s="72"/>
      <c r="AC411" s="72"/>
      <c r="AD411" s="9"/>
      <c r="AE411" s="10"/>
      <c r="AF411" s="10"/>
      <c r="AG411" s="10"/>
      <c r="AH411" s="10"/>
      <c r="AI411" s="10"/>
      <c r="AJ411" s="10"/>
      <c r="AK411" s="10"/>
      <c r="AL411" s="10"/>
      <c r="AM411" s="10"/>
    </row>
    <row r="412" spans="1:39" ht="15.75" customHeight="1" x14ac:dyDescent="0.2">
      <c r="A412" s="18"/>
      <c r="B412" s="103" t="s">
        <v>105</v>
      </c>
      <c r="C412" s="103"/>
      <c r="D412" s="77">
        <f t="shared" ref="D412:AD412" si="275">D420+D426-D432</f>
        <v>21560</v>
      </c>
      <c r="E412" s="77">
        <f t="shared" si="275"/>
        <v>45080</v>
      </c>
      <c r="F412" s="77">
        <f t="shared" si="275"/>
        <v>66640</v>
      </c>
      <c r="G412" s="77">
        <f t="shared" si="275"/>
        <v>111720</v>
      </c>
      <c r="H412" s="77">
        <f t="shared" si="275"/>
        <v>111720</v>
      </c>
      <c r="I412" s="77">
        <f t="shared" si="275"/>
        <v>176400</v>
      </c>
      <c r="J412" s="77">
        <f t="shared" si="275"/>
        <v>156800</v>
      </c>
      <c r="K412" s="77">
        <f t="shared" si="275"/>
        <v>133280</v>
      </c>
      <c r="L412" s="77">
        <f t="shared" si="275"/>
        <v>111720</v>
      </c>
      <c r="M412" s="77">
        <f t="shared" si="275"/>
        <v>111720</v>
      </c>
      <c r="N412" s="77">
        <f t="shared" si="275"/>
        <v>133280</v>
      </c>
      <c r="O412" s="77">
        <f t="shared" si="275"/>
        <v>176400</v>
      </c>
      <c r="P412" s="77">
        <f t="shared" si="275"/>
        <v>221480</v>
      </c>
      <c r="Q412" s="77">
        <f t="shared" si="275"/>
        <v>266560</v>
      </c>
      <c r="R412" s="77">
        <f t="shared" si="275"/>
        <v>354760</v>
      </c>
      <c r="S412" s="77">
        <f t="shared" si="275"/>
        <v>333200</v>
      </c>
      <c r="T412" s="77">
        <f t="shared" si="275"/>
        <v>399840</v>
      </c>
      <c r="U412" s="77">
        <f t="shared" si="275"/>
        <v>444920</v>
      </c>
      <c r="V412" s="77">
        <f t="shared" si="275"/>
        <v>354760</v>
      </c>
      <c r="W412" s="77">
        <f t="shared" si="275"/>
        <v>309680</v>
      </c>
      <c r="X412" s="77">
        <f t="shared" si="275"/>
        <v>245000</v>
      </c>
      <c r="Y412" s="77">
        <f t="shared" si="275"/>
        <v>245000</v>
      </c>
      <c r="Z412" s="77">
        <f t="shared" si="275"/>
        <v>266560</v>
      </c>
      <c r="AA412" s="77">
        <f t="shared" si="275"/>
        <v>444920</v>
      </c>
      <c r="AB412" s="77">
        <f t="shared" si="275"/>
        <v>488040</v>
      </c>
      <c r="AC412" s="77">
        <f t="shared" si="275"/>
        <v>554680</v>
      </c>
      <c r="AD412" s="77">
        <f t="shared" si="275"/>
        <v>666400</v>
      </c>
      <c r="AE412" s="10"/>
      <c r="AF412" s="10"/>
      <c r="AG412" s="10"/>
      <c r="AH412" s="10"/>
      <c r="AI412" s="10"/>
      <c r="AJ412" s="10"/>
      <c r="AK412" s="10"/>
      <c r="AL412" s="10"/>
      <c r="AM412" s="10"/>
    </row>
    <row r="413" spans="1:39" ht="15.75" customHeight="1" x14ac:dyDescent="0.2">
      <c r="A413" s="34"/>
      <c r="B413" s="485" t="s">
        <v>106</v>
      </c>
      <c r="C413" s="477"/>
      <c r="D413" s="5">
        <f t="shared" ref="D413:AD413" si="276">D421+D427-D433</f>
        <v>21560</v>
      </c>
      <c r="E413" s="5">
        <f t="shared" si="276"/>
        <v>23520</v>
      </c>
      <c r="F413" s="5">
        <f t="shared" si="276"/>
        <v>21560</v>
      </c>
      <c r="G413" s="5">
        <f t="shared" si="276"/>
        <v>45080</v>
      </c>
      <c r="H413" s="5">
        <f t="shared" si="276"/>
        <v>0</v>
      </c>
      <c r="I413" s="5">
        <f t="shared" si="276"/>
        <v>64680</v>
      </c>
      <c r="J413" s="5">
        <f t="shared" si="276"/>
        <v>-19600</v>
      </c>
      <c r="K413" s="5">
        <f t="shared" si="276"/>
        <v>-23520</v>
      </c>
      <c r="L413" s="5">
        <f t="shared" si="276"/>
        <v>-21560</v>
      </c>
      <c r="M413" s="5">
        <f t="shared" si="276"/>
        <v>0</v>
      </c>
      <c r="N413" s="5">
        <f t="shared" si="276"/>
        <v>21560</v>
      </c>
      <c r="O413" s="5">
        <f t="shared" si="276"/>
        <v>43120</v>
      </c>
      <c r="P413" s="5">
        <f t="shared" si="276"/>
        <v>45080</v>
      </c>
      <c r="Q413" s="5">
        <f t="shared" si="276"/>
        <v>45080</v>
      </c>
      <c r="R413" s="5">
        <f t="shared" si="276"/>
        <v>88200</v>
      </c>
      <c r="S413" s="5">
        <f t="shared" si="276"/>
        <v>-21560</v>
      </c>
      <c r="T413" s="5">
        <f t="shared" si="276"/>
        <v>66640</v>
      </c>
      <c r="U413" s="5">
        <f t="shared" si="276"/>
        <v>45080</v>
      </c>
      <c r="V413" s="5">
        <f t="shared" si="276"/>
        <v>-90160</v>
      </c>
      <c r="W413" s="5">
        <f t="shared" si="276"/>
        <v>-45080</v>
      </c>
      <c r="X413" s="5">
        <f t="shared" si="276"/>
        <v>-64680</v>
      </c>
      <c r="Y413" s="5">
        <f t="shared" si="276"/>
        <v>0</v>
      </c>
      <c r="Z413" s="5">
        <f t="shared" si="276"/>
        <v>21560</v>
      </c>
      <c r="AA413" s="5">
        <f t="shared" si="276"/>
        <v>178360</v>
      </c>
      <c r="AB413" s="5">
        <f t="shared" si="276"/>
        <v>43120</v>
      </c>
      <c r="AC413" s="5">
        <f t="shared" si="276"/>
        <v>66640</v>
      </c>
      <c r="AD413" s="5">
        <f t="shared" si="276"/>
        <v>111720</v>
      </c>
      <c r="AE413" s="10"/>
      <c r="AF413" s="10"/>
      <c r="AG413" s="10"/>
      <c r="AH413" s="10"/>
      <c r="AI413" s="10"/>
      <c r="AJ413" s="10"/>
      <c r="AK413" s="10"/>
      <c r="AL413" s="10"/>
      <c r="AM413" s="10"/>
    </row>
    <row r="414" spans="1:39" ht="15.75" customHeight="1" x14ac:dyDescent="0.2">
      <c r="A414" s="120"/>
      <c r="B414" s="481"/>
      <c r="C414" s="477"/>
      <c r="D414" s="165"/>
      <c r="E414" s="486"/>
      <c r="F414" s="477"/>
      <c r="G414" s="477"/>
      <c r="H414" s="477"/>
      <c r="I414" s="477"/>
      <c r="J414" s="477"/>
      <c r="K414" s="477"/>
      <c r="L414" s="477"/>
      <c r="M414" s="477"/>
      <c r="N414" s="477"/>
      <c r="O414" s="477"/>
      <c r="P414" s="477"/>
      <c r="Q414" s="486" t="s">
        <v>10</v>
      </c>
      <c r="R414" s="477"/>
      <c r="S414" s="477"/>
      <c r="T414" s="477"/>
      <c r="U414" s="477"/>
      <c r="V414" s="477"/>
      <c r="W414" s="477"/>
      <c r="X414" s="477"/>
      <c r="Y414" s="477"/>
      <c r="Z414" s="477"/>
      <c r="AA414" s="477"/>
      <c r="AB414" s="477"/>
      <c r="AC414" s="5"/>
      <c r="AD414" s="9"/>
      <c r="AE414" s="10"/>
      <c r="AF414" s="10"/>
      <c r="AG414" s="10"/>
      <c r="AH414" s="10"/>
      <c r="AI414" s="10"/>
      <c r="AJ414" s="10"/>
      <c r="AK414" s="10"/>
      <c r="AL414" s="10"/>
      <c r="AM414" s="10"/>
    </row>
    <row r="415" spans="1:39" ht="15.75" customHeight="1" x14ac:dyDescent="0.2">
      <c r="A415" s="120"/>
      <c r="B415" s="166" t="s">
        <v>107</v>
      </c>
      <c r="C415" s="127"/>
      <c r="D415" s="5">
        <f t="shared" ref="D415:AD415" si="277">D216+D222+D228+D234+D240+D246+D253+D259+D265+D271+D277+D283+D290+D296+D302+D308+D314+D320</f>
        <v>-21560</v>
      </c>
      <c r="E415" s="5">
        <f t="shared" si="277"/>
        <v>-45080</v>
      </c>
      <c r="F415" s="5">
        <f t="shared" si="277"/>
        <v>-66640</v>
      </c>
      <c r="G415" s="5">
        <f t="shared" si="277"/>
        <v>-111720</v>
      </c>
      <c r="H415" s="5">
        <f t="shared" si="277"/>
        <v>-111720</v>
      </c>
      <c r="I415" s="5">
        <f t="shared" si="277"/>
        <v>-176400</v>
      </c>
      <c r="J415" s="5">
        <f t="shared" si="277"/>
        <v>-156800</v>
      </c>
      <c r="K415" s="5">
        <f t="shared" si="277"/>
        <v>-133280</v>
      </c>
      <c r="L415" s="5">
        <f t="shared" si="277"/>
        <v>-111720</v>
      </c>
      <c r="M415" s="5">
        <f t="shared" si="277"/>
        <v>-111720</v>
      </c>
      <c r="N415" s="5">
        <f t="shared" si="277"/>
        <v>-133280</v>
      </c>
      <c r="O415" s="5">
        <f t="shared" si="277"/>
        <v>-176400</v>
      </c>
      <c r="P415" s="5">
        <f t="shared" si="277"/>
        <v>-221480</v>
      </c>
      <c r="Q415" s="5">
        <f t="shared" si="277"/>
        <v>-266560</v>
      </c>
      <c r="R415" s="5">
        <f t="shared" si="277"/>
        <v>-354760</v>
      </c>
      <c r="S415" s="5">
        <f t="shared" si="277"/>
        <v>-333200</v>
      </c>
      <c r="T415" s="5">
        <f t="shared" si="277"/>
        <v>-399840</v>
      </c>
      <c r="U415" s="5">
        <f t="shared" si="277"/>
        <v>-444920</v>
      </c>
      <c r="V415" s="5">
        <f t="shared" si="277"/>
        <v>-354760</v>
      </c>
      <c r="W415" s="5">
        <f t="shared" si="277"/>
        <v>-309680</v>
      </c>
      <c r="X415" s="5">
        <f t="shared" si="277"/>
        <v>-245000</v>
      </c>
      <c r="Y415" s="5">
        <f t="shared" si="277"/>
        <v>-245000</v>
      </c>
      <c r="Z415" s="5">
        <f t="shared" si="277"/>
        <v>-266560</v>
      </c>
      <c r="AA415" s="5">
        <f t="shared" si="277"/>
        <v>-444920</v>
      </c>
      <c r="AB415" s="5">
        <f t="shared" si="277"/>
        <v>-488040</v>
      </c>
      <c r="AC415" s="5">
        <f t="shared" si="277"/>
        <v>-554680</v>
      </c>
      <c r="AD415" s="5">
        <f t="shared" si="277"/>
        <v>-666400</v>
      </c>
      <c r="AE415" s="10"/>
      <c r="AF415" s="10"/>
      <c r="AG415" s="10"/>
      <c r="AH415" s="10"/>
      <c r="AI415" s="10"/>
      <c r="AJ415" s="10"/>
      <c r="AK415" s="10"/>
      <c r="AL415" s="10"/>
      <c r="AM415" s="10"/>
    </row>
    <row r="416" spans="1:39" ht="15.75" customHeight="1" x14ac:dyDescent="0.2">
      <c r="A416" s="120"/>
      <c r="B416" s="166"/>
      <c r="C416" s="127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167"/>
      <c r="AE416" s="10"/>
      <c r="AF416" s="10"/>
      <c r="AG416" s="10"/>
      <c r="AH416" s="10"/>
      <c r="AI416" s="10"/>
      <c r="AJ416" s="10"/>
      <c r="AK416" s="10"/>
      <c r="AL416" s="10"/>
      <c r="AM416" s="10"/>
    </row>
    <row r="417" spans="1:39" ht="15.75" customHeight="1" x14ac:dyDescent="0.2">
      <c r="A417" s="168"/>
      <c r="B417" s="487" t="s">
        <v>108</v>
      </c>
      <c r="C417" s="477"/>
      <c r="D417" s="169" t="s">
        <v>14</v>
      </c>
      <c r="E417" s="169" t="s">
        <v>15</v>
      </c>
      <c r="F417" s="169" t="s">
        <v>16</v>
      </c>
      <c r="G417" s="169" t="s">
        <v>17</v>
      </c>
      <c r="H417" s="169" t="s">
        <v>18</v>
      </c>
      <c r="I417" s="169" t="s">
        <v>19</v>
      </c>
      <c r="J417" s="169" t="s">
        <v>20</v>
      </c>
      <c r="K417" s="169" t="s">
        <v>21</v>
      </c>
      <c r="L417" s="169" t="s">
        <v>22</v>
      </c>
      <c r="M417" s="169" t="s">
        <v>23</v>
      </c>
      <c r="N417" s="169" t="s">
        <v>24</v>
      </c>
      <c r="O417" s="169" t="s">
        <v>25</v>
      </c>
      <c r="P417" s="169" t="s">
        <v>14</v>
      </c>
      <c r="Q417" s="169" t="s">
        <v>26</v>
      </c>
      <c r="R417" s="169" t="s">
        <v>16</v>
      </c>
      <c r="S417" s="169" t="s">
        <v>17</v>
      </c>
      <c r="T417" s="169" t="s">
        <v>18</v>
      </c>
      <c r="U417" s="169" t="s">
        <v>19</v>
      </c>
      <c r="V417" s="169" t="s">
        <v>20</v>
      </c>
      <c r="W417" s="169" t="s">
        <v>21</v>
      </c>
      <c r="X417" s="169" t="s">
        <v>22</v>
      </c>
      <c r="Y417" s="169" t="s">
        <v>23</v>
      </c>
      <c r="Z417" s="169" t="s">
        <v>24</v>
      </c>
      <c r="AA417" s="169" t="s">
        <v>25</v>
      </c>
      <c r="AB417" s="169" t="s">
        <v>14</v>
      </c>
      <c r="AC417" s="169" t="s">
        <v>26</v>
      </c>
      <c r="AD417" s="170" t="s">
        <v>16</v>
      </c>
      <c r="AE417" s="10"/>
      <c r="AF417" s="10"/>
      <c r="AG417" s="10"/>
      <c r="AH417" s="10"/>
      <c r="AI417" s="10"/>
      <c r="AJ417" s="10"/>
      <c r="AK417" s="10"/>
      <c r="AL417" s="10"/>
      <c r="AM417" s="10"/>
    </row>
    <row r="418" spans="1:39" ht="15.75" customHeight="1" x14ac:dyDescent="0.2">
      <c r="A418" s="120"/>
      <c r="B418" s="171" t="s">
        <v>109</v>
      </c>
      <c r="C418" s="172">
        <v>60</v>
      </c>
      <c r="D418" s="173"/>
      <c r="E418" s="173"/>
      <c r="F418" s="173"/>
      <c r="G418" s="173"/>
      <c r="H418" s="173"/>
      <c r="I418" s="173"/>
      <c r="J418" s="173"/>
      <c r="K418" s="173"/>
      <c r="L418" s="173"/>
      <c r="M418" s="173"/>
      <c r="N418" s="173"/>
      <c r="O418" s="173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167"/>
      <c r="AE418" s="10"/>
      <c r="AF418" s="10"/>
      <c r="AG418" s="10"/>
      <c r="AH418" s="10"/>
      <c r="AI418" s="10"/>
      <c r="AJ418" s="10"/>
      <c r="AK418" s="10"/>
      <c r="AL418" s="10"/>
      <c r="AM418" s="10"/>
    </row>
    <row r="419" spans="1:39" ht="15.75" customHeight="1" x14ac:dyDescent="0.2">
      <c r="A419" s="120"/>
      <c r="B419" s="174" t="s">
        <v>110</v>
      </c>
      <c r="C419" s="175"/>
      <c r="D419" s="176">
        <f t="shared" ref="D419:AD419" si="278">C420</f>
        <v>0</v>
      </c>
      <c r="E419" s="176">
        <f t="shared" si="278"/>
        <v>43120</v>
      </c>
      <c r="F419" s="176">
        <f t="shared" si="278"/>
        <v>90160</v>
      </c>
      <c r="G419" s="176">
        <f t="shared" si="278"/>
        <v>133280</v>
      </c>
      <c r="H419" s="176">
        <f t="shared" si="278"/>
        <v>223440</v>
      </c>
      <c r="I419" s="176">
        <f t="shared" si="278"/>
        <v>223440</v>
      </c>
      <c r="J419" s="176">
        <f t="shared" si="278"/>
        <v>352800</v>
      </c>
      <c r="K419" s="176">
        <f t="shared" si="278"/>
        <v>313600</v>
      </c>
      <c r="L419" s="176">
        <f t="shared" si="278"/>
        <v>266560</v>
      </c>
      <c r="M419" s="176">
        <f t="shared" si="278"/>
        <v>223440</v>
      </c>
      <c r="N419" s="176">
        <f t="shared" si="278"/>
        <v>223440</v>
      </c>
      <c r="O419" s="176">
        <f t="shared" si="278"/>
        <v>266560</v>
      </c>
      <c r="P419" s="176">
        <f t="shared" si="278"/>
        <v>352800</v>
      </c>
      <c r="Q419" s="176">
        <f t="shared" si="278"/>
        <v>442960</v>
      </c>
      <c r="R419" s="176">
        <f t="shared" si="278"/>
        <v>533120</v>
      </c>
      <c r="S419" s="176">
        <f t="shared" si="278"/>
        <v>709520</v>
      </c>
      <c r="T419" s="176">
        <f t="shared" si="278"/>
        <v>666400</v>
      </c>
      <c r="U419" s="176">
        <f t="shared" si="278"/>
        <v>799680</v>
      </c>
      <c r="V419" s="176">
        <f t="shared" si="278"/>
        <v>889840</v>
      </c>
      <c r="W419" s="176">
        <f t="shared" si="278"/>
        <v>709520</v>
      </c>
      <c r="X419" s="176">
        <f t="shared" si="278"/>
        <v>619360</v>
      </c>
      <c r="Y419" s="176">
        <f t="shared" si="278"/>
        <v>490000</v>
      </c>
      <c r="Z419" s="176">
        <f t="shared" si="278"/>
        <v>490000</v>
      </c>
      <c r="AA419" s="176">
        <f t="shared" si="278"/>
        <v>533120</v>
      </c>
      <c r="AB419" s="176">
        <f t="shared" si="278"/>
        <v>889840</v>
      </c>
      <c r="AC419" s="176">
        <f t="shared" si="278"/>
        <v>976080</v>
      </c>
      <c r="AD419" s="176">
        <f t="shared" si="278"/>
        <v>1109360</v>
      </c>
      <c r="AE419" s="10"/>
      <c r="AF419" s="10"/>
      <c r="AG419" s="10"/>
      <c r="AH419" s="10"/>
      <c r="AI419" s="10"/>
      <c r="AJ419" s="10"/>
      <c r="AK419" s="10"/>
      <c r="AL419" s="10"/>
      <c r="AM419" s="10"/>
    </row>
    <row r="420" spans="1:39" ht="15.75" customHeight="1" x14ac:dyDescent="0.2">
      <c r="A420" s="120"/>
      <c r="B420" s="171" t="s">
        <v>111</v>
      </c>
      <c r="C420" s="172">
        <v>0</v>
      </c>
      <c r="D420" s="176">
        <f t="shared" ref="D420:AD420" si="279">-D415*$C$418/30</f>
        <v>43120</v>
      </c>
      <c r="E420" s="176">
        <f t="shared" si="279"/>
        <v>90160</v>
      </c>
      <c r="F420" s="176">
        <f t="shared" si="279"/>
        <v>133280</v>
      </c>
      <c r="G420" s="176">
        <f t="shared" si="279"/>
        <v>223440</v>
      </c>
      <c r="H420" s="176">
        <f t="shared" si="279"/>
        <v>223440</v>
      </c>
      <c r="I420" s="176">
        <f t="shared" si="279"/>
        <v>352800</v>
      </c>
      <c r="J420" s="176">
        <f t="shared" si="279"/>
        <v>313600</v>
      </c>
      <c r="K420" s="176">
        <f t="shared" si="279"/>
        <v>266560</v>
      </c>
      <c r="L420" s="176">
        <f t="shared" si="279"/>
        <v>223440</v>
      </c>
      <c r="M420" s="176">
        <f t="shared" si="279"/>
        <v>223440</v>
      </c>
      <c r="N420" s="176">
        <f t="shared" si="279"/>
        <v>266560</v>
      </c>
      <c r="O420" s="176">
        <f t="shared" si="279"/>
        <v>352800</v>
      </c>
      <c r="P420" s="176">
        <f t="shared" si="279"/>
        <v>442960</v>
      </c>
      <c r="Q420" s="176">
        <f t="shared" si="279"/>
        <v>533120</v>
      </c>
      <c r="R420" s="176">
        <f t="shared" si="279"/>
        <v>709520</v>
      </c>
      <c r="S420" s="176">
        <f t="shared" si="279"/>
        <v>666400</v>
      </c>
      <c r="T420" s="176">
        <f t="shared" si="279"/>
        <v>799680</v>
      </c>
      <c r="U420" s="176">
        <f t="shared" si="279"/>
        <v>889840</v>
      </c>
      <c r="V420" s="176">
        <f t="shared" si="279"/>
        <v>709520</v>
      </c>
      <c r="W420" s="176">
        <f t="shared" si="279"/>
        <v>619360</v>
      </c>
      <c r="X420" s="176">
        <f t="shared" si="279"/>
        <v>490000</v>
      </c>
      <c r="Y420" s="176">
        <f t="shared" si="279"/>
        <v>490000</v>
      </c>
      <c r="Z420" s="176">
        <f t="shared" si="279"/>
        <v>533120</v>
      </c>
      <c r="AA420" s="176">
        <f t="shared" si="279"/>
        <v>889840</v>
      </c>
      <c r="AB420" s="176">
        <f t="shared" si="279"/>
        <v>976080</v>
      </c>
      <c r="AC420" s="176">
        <f t="shared" si="279"/>
        <v>1109360</v>
      </c>
      <c r="AD420" s="176">
        <f t="shared" si="279"/>
        <v>1332800</v>
      </c>
      <c r="AE420" s="10"/>
      <c r="AF420" s="10"/>
      <c r="AG420" s="10"/>
      <c r="AH420" s="10"/>
      <c r="AI420" s="10"/>
      <c r="AJ420" s="10"/>
      <c r="AK420" s="10"/>
      <c r="AL420" s="10"/>
      <c r="AM420" s="10"/>
    </row>
    <row r="421" spans="1:39" ht="15.75" customHeight="1" collapsed="1" x14ac:dyDescent="0.2">
      <c r="A421" s="120"/>
      <c r="B421" s="488" t="s">
        <v>112</v>
      </c>
      <c r="C421" s="477"/>
      <c r="D421" s="176">
        <f t="shared" ref="D421:AD421" si="280">D420-D419</f>
        <v>43120</v>
      </c>
      <c r="E421" s="176">
        <f t="shared" si="280"/>
        <v>47040</v>
      </c>
      <c r="F421" s="176">
        <f t="shared" si="280"/>
        <v>43120</v>
      </c>
      <c r="G421" s="176">
        <f t="shared" si="280"/>
        <v>90160</v>
      </c>
      <c r="H421" s="176">
        <f t="shared" si="280"/>
        <v>0</v>
      </c>
      <c r="I421" s="176">
        <f t="shared" si="280"/>
        <v>129360</v>
      </c>
      <c r="J421" s="176">
        <f t="shared" si="280"/>
        <v>-39200</v>
      </c>
      <c r="K421" s="176">
        <f t="shared" si="280"/>
        <v>-47040</v>
      </c>
      <c r="L421" s="176">
        <f t="shared" si="280"/>
        <v>-43120</v>
      </c>
      <c r="M421" s="176">
        <f t="shared" si="280"/>
        <v>0</v>
      </c>
      <c r="N421" s="176">
        <f t="shared" si="280"/>
        <v>43120</v>
      </c>
      <c r="O421" s="176">
        <f t="shared" si="280"/>
        <v>86240</v>
      </c>
      <c r="P421" s="176">
        <f t="shared" si="280"/>
        <v>90160</v>
      </c>
      <c r="Q421" s="176">
        <f t="shared" si="280"/>
        <v>90160</v>
      </c>
      <c r="R421" s="176">
        <f t="shared" si="280"/>
        <v>176400</v>
      </c>
      <c r="S421" s="176">
        <f t="shared" si="280"/>
        <v>-43120</v>
      </c>
      <c r="T421" s="176">
        <f t="shared" si="280"/>
        <v>133280</v>
      </c>
      <c r="U421" s="176">
        <f t="shared" si="280"/>
        <v>90160</v>
      </c>
      <c r="V421" s="176">
        <f t="shared" si="280"/>
        <v>-180320</v>
      </c>
      <c r="W421" s="176">
        <f t="shared" si="280"/>
        <v>-90160</v>
      </c>
      <c r="X421" s="176">
        <f t="shared" si="280"/>
        <v>-129360</v>
      </c>
      <c r="Y421" s="176">
        <f t="shared" si="280"/>
        <v>0</v>
      </c>
      <c r="Z421" s="176">
        <f t="shared" si="280"/>
        <v>43120</v>
      </c>
      <c r="AA421" s="176">
        <f t="shared" si="280"/>
        <v>356720</v>
      </c>
      <c r="AB421" s="176">
        <f t="shared" si="280"/>
        <v>86240</v>
      </c>
      <c r="AC421" s="176">
        <f t="shared" si="280"/>
        <v>133280</v>
      </c>
      <c r="AD421" s="176">
        <f t="shared" si="280"/>
        <v>223440</v>
      </c>
      <c r="AE421" s="10"/>
      <c r="AF421" s="10"/>
      <c r="AG421" s="10"/>
      <c r="AH421" s="10"/>
      <c r="AI421" s="10"/>
      <c r="AJ421" s="10"/>
      <c r="AK421" s="10"/>
      <c r="AL421" s="10"/>
      <c r="AM421" s="10"/>
    </row>
    <row r="422" spans="1:39" ht="15.75" hidden="1" customHeight="1" outlineLevel="1" x14ac:dyDescent="0.2">
      <c r="A422" s="120"/>
      <c r="B422" s="481"/>
      <c r="C422" s="477"/>
      <c r="D422" s="5"/>
      <c r="E422" s="483"/>
      <c r="F422" s="477"/>
      <c r="G422" s="477"/>
      <c r="H422" s="477"/>
      <c r="I422" s="477"/>
      <c r="J422" s="477"/>
      <c r="K422" s="477"/>
      <c r="L422" s="477"/>
      <c r="M422" s="477"/>
      <c r="N422" s="477"/>
      <c r="O422" s="477"/>
      <c r="P422" s="477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167"/>
      <c r="AE422" s="10"/>
      <c r="AF422" s="10"/>
      <c r="AG422" s="10"/>
      <c r="AH422" s="10"/>
      <c r="AI422" s="10"/>
      <c r="AJ422" s="10"/>
      <c r="AK422" s="10"/>
      <c r="AL422" s="10"/>
      <c r="AM422" s="10"/>
    </row>
    <row r="423" spans="1:39" ht="15.75" hidden="1" customHeight="1" outlineLevel="1" x14ac:dyDescent="0.2">
      <c r="A423" s="177"/>
      <c r="B423" s="489" t="s">
        <v>113</v>
      </c>
      <c r="C423" s="477"/>
      <c r="D423" s="179" t="s">
        <v>14</v>
      </c>
      <c r="E423" s="179" t="s">
        <v>15</v>
      </c>
      <c r="F423" s="179" t="s">
        <v>16</v>
      </c>
      <c r="G423" s="179" t="s">
        <v>17</v>
      </c>
      <c r="H423" s="179" t="s">
        <v>18</v>
      </c>
      <c r="I423" s="179" t="s">
        <v>19</v>
      </c>
      <c r="J423" s="179" t="s">
        <v>20</v>
      </c>
      <c r="K423" s="179" t="s">
        <v>21</v>
      </c>
      <c r="L423" s="179" t="s">
        <v>22</v>
      </c>
      <c r="M423" s="179" t="s">
        <v>23</v>
      </c>
      <c r="N423" s="179" t="s">
        <v>24</v>
      </c>
      <c r="O423" s="179" t="s">
        <v>25</v>
      </c>
      <c r="P423" s="179" t="s">
        <v>14</v>
      </c>
      <c r="Q423" s="179" t="s">
        <v>26</v>
      </c>
      <c r="R423" s="179" t="s">
        <v>16</v>
      </c>
      <c r="S423" s="179" t="s">
        <v>17</v>
      </c>
      <c r="T423" s="179" t="s">
        <v>18</v>
      </c>
      <c r="U423" s="179" t="s">
        <v>19</v>
      </c>
      <c r="V423" s="179" t="s">
        <v>20</v>
      </c>
      <c r="W423" s="179" t="s">
        <v>21</v>
      </c>
      <c r="X423" s="179" t="s">
        <v>22</v>
      </c>
      <c r="Y423" s="179" t="s">
        <v>23</v>
      </c>
      <c r="Z423" s="179" t="s">
        <v>24</v>
      </c>
      <c r="AA423" s="179" t="s">
        <v>25</v>
      </c>
      <c r="AB423" s="179" t="s">
        <v>14</v>
      </c>
      <c r="AC423" s="158" t="s">
        <v>26</v>
      </c>
      <c r="AD423" s="170" t="s">
        <v>16</v>
      </c>
      <c r="AE423" s="10"/>
      <c r="AF423" s="10"/>
      <c r="AG423" s="10"/>
      <c r="AH423" s="10"/>
      <c r="AI423" s="10"/>
      <c r="AJ423" s="10"/>
      <c r="AK423" s="10"/>
      <c r="AL423" s="10"/>
      <c r="AM423" s="10"/>
    </row>
    <row r="424" spans="1:39" ht="15.75" hidden="1" customHeight="1" outlineLevel="1" x14ac:dyDescent="0.2">
      <c r="A424" s="18"/>
      <c r="B424" s="24" t="s">
        <v>114</v>
      </c>
      <c r="C424" s="125">
        <v>0</v>
      </c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167"/>
      <c r="AE424" s="10"/>
      <c r="AF424" s="10"/>
      <c r="AG424" s="10"/>
      <c r="AH424" s="10"/>
      <c r="AI424" s="10"/>
      <c r="AJ424" s="10"/>
      <c r="AK424" s="10"/>
      <c r="AL424" s="10"/>
      <c r="AM424" s="10"/>
    </row>
    <row r="425" spans="1:39" ht="15.75" hidden="1" customHeight="1" outlineLevel="1" x14ac:dyDescent="0.2">
      <c r="A425" s="34"/>
      <c r="B425" s="81" t="s">
        <v>115</v>
      </c>
      <c r="C425" s="81"/>
      <c r="D425" s="5">
        <f t="shared" ref="D425:AD425" si="281">C426</f>
        <v>0</v>
      </c>
      <c r="E425" s="5">
        <f t="shared" si="281"/>
        <v>0</v>
      </c>
      <c r="F425" s="5">
        <f t="shared" si="281"/>
        <v>0</v>
      </c>
      <c r="G425" s="5">
        <f t="shared" si="281"/>
        <v>0</v>
      </c>
      <c r="H425" s="5">
        <f t="shared" si="281"/>
        <v>0</v>
      </c>
      <c r="I425" s="5">
        <f t="shared" si="281"/>
        <v>0</v>
      </c>
      <c r="J425" s="5">
        <f t="shared" si="281"/>
        <v>0</v>
      </c>
      <c r="K425" s="5">
        <f t="shared" si="281"/>
        <v>0</v>
      </c>
      <c r="L425" s="5">
        <f t="shared" si="281"/>
        <v>0</v>
      </c>
      <c r="M425" s="5">
        <f t="shared" si="281"/>
        <v>0</v>
      </c>
      <c r="N425" s="5">
        <f t="shared" si="281"/>
        <v>0</v>
      </c>
      <c r="O425" s="5">
        <f t="shared" si="281"/>
        <v>0</v>
      </c>
      <c r="P425" s="5">
        <f t="shared" si="281"/>
        <v>0</v>
      </c>
      <c r="Q425" s="5">
        <f t="shared" si="281"/>
        <v>0</v>
      </c>
      <c r="R425" s="5">
        <f t="shared" si="281"/>
        <v>0</v>
      </c>
      <c r="S425" s="5">
        <f t="shared" si="281"/>
        <v>0</v>
      </c>
      <c r="T425" s="5">
        <f t="shared" si="281"/>
        <v>0</v>
      </c>
      <c r="U425" s="5">
        <f t="shared" si="281"/>
        <v>0</v>
      </c>
      <c r="V425" s="5">
        <f t="shared" si="281"/>
        <v>0</v>
      </c>
      <c r="W425" s="5">
        <f t="shared" si="281"/>
        <v>0</v>
      </c>
      <c r="X425" s="5">
        <f t="shared" si="281"/>
        <v>0</v>
      </c>
      <c r="Y425" s="5">
        <f t="shared" si="281"/>
        <v>0</v>
      </c>
      <c r="Z425" s="5">
        <f t="shared" si="281"/>
        <v>0</v>
      </c>
      <c r="AA425" s="5">
        <f t="shared" si="281"/>
        <v>0</v>
      </c>
      <c r="AB425" s="5">
        <f t="shared" si="281"/>
        <v>0</v>
      </c>
      <c r="AC425" s="5">
        <f t="shared" si="281"/>
        <v>0</v>
      </c>
      <c r="AD425" s="5">
        <f t="shared" si="281"/>
        <v>0</v>
      </c>
      <c r="AE425" s="10"/>
      <c r="AF425" s="10"/>
      <c r="AG425" s="10"/>
      <c r="AH425" s="10"/>
      <c r="AI425" s="10"/>
      <c r="AJ425" s="10"/>
      <c r="AK425" s="10"/>
      <c r="AL425" s="10"/>
      <c r="AM425" s="10"/>
    </row>
    <row r="426" spans="1:39" ht="15.75" hidden="1" customHeight="1" outlineLevel="1" x14ac:dyDescent="0.2">
      <c r="A426" s="18"/>
      <c r="B426" s="24" t="s">
        <v>116</v>
      </c>
      <c r="C426" s="125">
        <v>0</v>
      </c>
      <c r="D426" s="5">
        <f t="shared" ref="D426:AD426" si="282">D10*$C$424/30</f>
        <v>0</v>
      </c>
      <c r="E426" s="5">
        <f t="shared" si="282"/>
        <v>0</v>
      </c>
      <c r="F426" s="5">
        <f t="shared" si="282"/>
        <v>0</v>
      </c>
      <c r="G426" s="5">
        <f t="shared" si="282"/>
        <v>0</v>
      </c>
      <c r="H426" s="5">
        <f t="shared" si="282"/>
        <v>0</v>
      </c>
      <c r="I426" s="5">
        <f t="shared" si="282"/>
        <v>0</v>
      </c>
      <c r="J426" s="5">
        <f t="shared" si="282"/>
        <v>0</v>
      </c>
      <c r="K426" s="5">
        <f t="shared" si="282"/>
        <v>0</v>
      </c>
      <c r="L426" s="5">
        <f t="shared" si="282"/>
        <v>0</v>
      </c>
      <c r="M426" s="5">
        <f t="shared" si="282"/>
        <v>0</v>
      </c>
      <c r="N426" s="5">
        <f t="shared" si="282"/>
        <v>0</v>
      </c>
      <c r="O426" s="5">
        <f t="shared" si="282"/>
        <v>0</v>
      </c>
      <c r="P426" s="5">
        <f t="shared" si="282"/>
        <v>0</v>
      </c>
      <c r="Q426" s="5">
        <f t="shared" si="282"/>
        <v>0</v>
      </c>
      <c r="R426" s="5">
        <f t="shared" si="282"/>
        <v>0</v>
      </c>
      <c r="S426" s="5">
        <f t="shared" si="282"/>
        <v>0</v>
      </c>
      <c r="T426" s="5">
        <f t="shared" si="282"/>
        <v>0</v>
      </c>
      <c r="U426" s="5">
        <f t="shared" si="282"/>
        <v>0</v>
      </c>
      <c r="V426" s="5">
        <f t="shared" si="282"/>
        <v>0</v>
      </c>
      <c r="W426" s="5">
        <f t="shared" si="282"/>
        <v>0</v>
      </c>
      <c r="X426" s="5">
        <f t="shared" si="282"/>
        <v>0</v>
      </c>
      <c r="Y426" s="5">
        <f t="shared" si="282"/>
        <v>0</v>
      </c>
      <c r="Z426" s="5">
        <f t="shared" si="282"/>
        <v>0</v>
      </c>
      <c r="AA426" s="5">
        <f t="shared" si="282"/>
        <v>0</v>
      </c>
      <c r="AB426" s="5">
        <f t="shared" si="282"/>
        <v>0</v>
      </c>
      <c r="AC426" s="5">
        <f t="shared" si="282"/>
        <v>0</v>
      </c>
      <c r="AD426" s="5">
        <f t="shared" si="282"/>
        <v>0</v>
      </c>
      <c r="AE426" s="10"/>
      <c r="AF426" s="10"/>
      <c r="AG426" s="10"/>
      <c r="AH426" s="10"/>
      <c r="AI426" s="10"/>
      <c r="AJ426" s="10"/>
      <c r="AK426" s="10"/>
      <c r="AL426" s="10"/>
      <c r="AM426" s="10"/>
    </row>
    <row r="427" spans="1:39" ht="15.75" hidden="1" customHeight="1" outlineLevel="1" x14ac:dyDescent="0.2">
      <c r="A427" s="34"/>
      <c r="B427" s="485" t="s">
        <v>117</v>
      </c>
      <c r="C427" s="477"/>
      <c r="D427" s="5">
        <f t="shared" ref="D427:AD427" si="283">D426-D425</f>
        <v>0</v>
      </c>
      <c r="E427" s="5">
        <f t="shared" si="283"/>
        <v>0</v>
      </c>
      <c r="F427" s="5">
        <f t="shared" si="283"/>
        <v>0</v>
      </c>
      <c r="G427" s="5">
        <f t="shared" si="283"/>
        <v>0</v>
      </c>
      <c r="H427" s="5">
        <f t="shared" si="283"/>
        <v>0</v>
      </c>
      <c r="I427" s="5">
        <f t="shared" si="283"/>
        <v>0</v>
      </c>
      <c r="J427" s="5">
        <f t="shared" si="283"/>
        <v>0</v>
      </c>
      <c r="K427" s="5">
        <f t="shared" si="283"/>
        <v>0</v>
      </c>
      <c r="L427" s="5">
        <f t="shared" si="283"/>
        <v>0</v>
      </c>
      <c r="M427" s="5">
        <f t="shared" si="283"/>
        <v>0</v>
      </c>
      <c r="N427" s="5">
        <f t="shared" si="283"/>
        <v>0</v>
      </c>
      <c r="O427" s="5">
        <f t="shared" si="283"/>
        <v>0</v>
      </c>
      <c r="P427" s="5">
        <f t="shared" si="283"/>
        <v>0</v>
      </c>
      <c r="Q427" s="5">
        <f t="shared" si="283"/>
        <v>0</v>
      </c>
      <c r="R427" s="5">
        <f t="shared" si="283"/>
        <v>0</v>
      </c>
      <c r="S427" s="5">
        <f t="shared" si="283"/>
        <v>0</v>
      </c>
      <c r="T427" s="5">
        <f t="shared" si="283"/>
        <v>0</v>
      </c>
      <c r="U427" s="5">
        <f t="shared" si="283"/>
        <v>0</v>
      </c>
      <c r="V427" s="5">
        <f t="shared" si="283"/>
        <v>0</v>
      </c>
      <c r="W427" s="5">
        <f t="shared" si="283"/>
        <v>0</v>
      </c>
      <c r="X427" s="5">
        <f t="shared" si="283"/>
        <v>0</v>
      </c>
      <c r="Y427" s="5">
        <f t="shared" si="283"/>
        <v>0</v>
      </c>
      <c r="Z427" s="5">
        <f t="shared" si="283"/>
        <v>0</v>
      </c>
      <c r="AA427" s="5">
        <f t="shared" si="283"/>
        <v>0</v>
      </c>
      <c r="AB427" s="5">
        <f t="shared" si="283"/>
        <v>0</v>
      </c>
      <c r="AC427" s="5">
        <f t="shared" si="283"/>
        <v>0</v>
      </c>
      <c r="AD427" s="5">
        <f t="shared" si="283"/>
        <v>0</v>
      </c>
      <c r="AE427" s="10"/>
      <c r="AF427" s="10"/>
      <c r="AG427" s="10"/>
      <c r="AH427" s="10"/>
      <c r="AI427" s="10"/>
      <c r="AJ427" s="10"/>
      <c r="AK427" s="10"/>
      <c r="AL427" s="10"/>
      <c r="AM427" s="10"/>
    </row>
    <row r="428" spans="1:39" ht="15.75" hidden="1" customHeight="1" outlineLevel="1" x14ac:dyDescent="0.2">
      <c r="A428" s="120"/>
      <c r="B428" s="481"/>
      <c r="C428" s="477"/>
      <c r="D428" s="5"/>
      <c r="E428" s="483"/>
      <c r="F428" s="477"/>
      <c r="G428" s="477"/>
      <c r="H428" s="477"/>
      <c r="I428" s="477"/>
      <c r="J428" s="477"/>
      <c r="K428" s="477"/>
      <c r="L428" s="477"/>
      <c r="M428" s="477"/>
      <c r="N428" s="477"/>
      <c r="O428" s="477"/>
      <c r="P428" s="477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167"/>
      <c r="AE428" s="10"/>
      <c r="AF428" s="10"/>
      <c r="AG428" s="10"/>
      <c r="AH428" s="10"/>
      <c r="AI428" s="10"/>
      <c r="AJ428" s="10"/>
      <c r="AK428" s="10"/>
      <c r="AL428" s="10"/>
      <c r="AM428" s="10"/>
    </row>
    <row r="429" spans="1:39" ht="15.75" hidden="1" customHeight="1" outlineLevel="1" x14ac:dyDescent="0.2">
      <c r="A429" s="120"/>
      <c r="B429" s="489" t="s">
        <v>118</v>
      </c>
      <c r="C429" s="477"/>
      <c r="D429" s="169" t="s">
        <v>14</v>
      </c>
      <c r="E429" s="169" t="s">
        <v>15</v>
      </c>
      <c r="F429" s="169" t="s">
        <v>16</v>
      </c>
      <c r="G429" s="169" t="s">
        <v>17</v>
      </c>
      <c r="H429" s="169" t="s">
        <v>18</v>
      </c>
      <c r="I429" s="169" t="s">
        <v>19</v>
      </c>
      <c r="J429" s="169" t="s">
        <v>20</v>
      </c>
      <c r="K429" s="169" t="s">
        <v>21</v>
      </c>
      <c r="L429" s="169" t="s">
        <v>22</v>
      </c>
      <c r="M429" s="169" t="s">
        <v>23</v>
      </c>
      <c r="N429" s="169" t="s">
        <v>24</v>
      </c>
      <c r="O429" s="169" t="s">
        <v>25</v>
      </c>
      <c r="P429" s="169" t="s">
        <v>14</v>
      </c>
      <c r="Q429" s="169" t="s">
        <v>26</v>
      </c>
      <c r="R429" s="169" t="s">
        <v>16</v>
      </c>
      <c r="S429" s="169" t="s">
        <v>17</v>
      </c>
      <c r="T429" s="169" t="s">
        <v>18</v>
      </c>
      <c r="U429" s="169" t="s">
        <v>19</v>
      </c>
      <c r="V429" s="169" t="s">
        <v>20</v>
      </c>
      <c r="W429" s="169" t="s">
        <v>21</v>
      </c>
      <c r="X429" s="169" t="s">
        <v>22</v>
      </c>
      <c r="Y429" s="169" t="s">
        <v>23</v>
      </c>
      <c r="Z429" s="169" t="s">
        <v>24</v>
      </c>
      <c r="AA429" s="169" t="s">
        <v>25</v>
      </c>
      <c r="AB429" s="169" t="s">
        <v>14</v>
      </c>
      <c r="AC429" s="6" t="s">
        <v>26</v>
      </c>
      <c r="AD429" s="170" t="s">
        <v>16</v>
      </c>
      <c r="AE429" s="10"/>
      <c r="AF429" s="10"/>
      <c r="AG429" s="10"/>
      <c r="AH429" s="10"/>
      <c r="AI429" s="10"/>
      <c r="AJ429" s="10"/>
      <c r="AK429" s="10"/>
      <c r="AL429" s="10"/>
      <c r="AM429" s="10"/>
    </row>
    <row r="430" spans="1:39" ht="15.75" hidden="1" customHeight="1" outlineLevel="1" x14ac:dyDescent="0.2">
      <c r="A430" s="120"/>
      <c r="B430" s="24" t="s">
        <v>119</v>
      </c>
      <c r="C430" s="125">
        <v>30</v>
      </c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167"/>
      <c r="AE430" s="10"/>
      <c r="AF430" s="10"/>
      <c r="AG430" s="10"/>
      <c r="AH430" s="10"/>
      <c r="AI430" s="10"/>
      <c r="AJ430" s="10"/>
      <c r="AK430" s="10"/>
      <c r="AL430" s="10"/>
      <c r="AM430" s="10"/>
    </row>
    <row r="431" spans="1:39" ht="15.75" hidden="1" customHeight="1" outlineLevel="1" x14ac:dyDescent="0.2">
      <c r="A431" s="120"/>
      <c r="B431" s="81" t="s">
        <v>120</v>
      </c>
      <c r="C431" s="81"/>
      <c r="D431" s="5">
        <f t="shared" ref="D431:AD431" si="284">C432</f>
        <v>0</v>
      </c>
      <c r="E431" s="5">
        <f t="shared" si="284"/>
        <v>21560</v>
      </c>
      <c r="F431" s="5">
        <f t="shared" si="284"/>
        <v>45080</v>
      </c>
      <c r="G431" s="5">
        <f t="shared" si="284"/>
        <v>66640</v>
      </c>
      <c r="H431" s="5">
        <f t="shared" si="284"/>
        <v>111720</v>
      </c>
      <c r="I431" s="5">
        <f t="shared" si="284"/>
        <v>111720</v>
      </c>
      <c r="J431" s="5">
        <f t="shared" si="284"/>
        <v>176400</v>
      </c>
      <c r="K431" s="5">
        <f t="shared" si="284"/>
        <v>156800</v>
      </c>
      <c r="L431" s="5">
        <f t="shared" si="284"/>
        <v>133280</v>
      </c>
      <c r="M431" s="5">
        <f t="shared" si="284"/>
        <v>111720</v>
      </c>
      <c r="N431" s="5">
        <f t="shared" si="284"/>
        <v>111720</v>
      </c>
      <c r="O431" s="5">
        <f t="shared" si="284"/>
        <v>133280</v>
      </c>
      <c r="P431" s="5">
        <f t="shared" si="284"/>
        <v>176400</v>
      </c>
      <c r="Q431" s="5">
        <f t="shared" si="284"/>
        <v>221480</v>
      </c>
      <c r="R431" s="5">
        <f t="shared" si="284"/>
        <v>266560</v>
      </c>
      <c r="S431" s="5">
        <f t="shared" si="284"/>
        <v>354760</v>
      </c>
      <c r="T431" s="5">
        <f t="shared" si="284"/>
        <v>333200</v>
      </c>
      <c r="U431" s="5">
        <f t="shared" si="284"/>
        <v>399840</v>
      </c>
      <c r="V431" s="5">
        <f t="shared" si="284"/>
        <v>444920</v>
      </c>
      <c r="W431" s="5">
        <f t="shared" si="284"/>
        <v>354760</v>
      </c>
      <c r="X431" s="5">
        <f t="shared" si="284"/>
        <v>309680</v>
      </c>
      <c r="Y431" s="5">
        <f t="shared" si="284"/>
        <v>245000</v>
      </c>
      <c r="Z431" s="5">
        <f t="shared" si="284"/>
        <v>245000</v>
      </c>
      <c r="AA431" s="5">
        <f t="shared" si="284"/>
        <v>266560</v>
      </c>
      <c r="AB431" s="5">
        <f t="shared" si="284"/>
        <v>444920</v>
      </c>
      <c r="AC431" s="5">
        <f t="shared" si="284"/>
        <v>488040</v>
      </c>
      <c r="AD431" s="5">
        <f t="shared" si="284"/>
        <v>554680</v>
      </c>
      <c r="AE431" s="10"/>
      <c r="AF431" s="10"/>
      <c r="AG431" s="10"/>
      <c r="AH431" s="10"/>
      <c r="AI431" s="10"/>
      <c r="AJ431" s="10"/>
      <c r="AK431" s="10"/>
      <c r="AL431" s="10"/>
      <c r="AM431" s="10"/>
    </row>
    <row r="432" spans="1:39" ht="15.75" hidden="1" customHeight="1" outlineLevel="1" x14ac:dyDescent="0.2">
      <c r="A432" s="120"/>
      <c r="B432" s="24" t="s">
        <v>121</v>
      </c>
      <c r="C432" s="125">
        <v>0</v>
      </c>
      <c r="D432" s="5">
        <f t="shared" ref="D432:AD432" si="285">-$C$430*D415/30</f>
        <v>21560</v>
      </c>
      <c r="E432" s="5">
        <f t="shared" si="285"/>
        <v>45080</v>
      </c>
      <c r="F432" s="5">
        <f t="shared" si="285"/>
        <v>66640</v>
      </c>
      <c r="G432" s="5">
        <f t="shared" si="285"/>
        <v>111720</v>
      </c>
      <c r="H432" s="5">
        <f t="shared" si="285"/>
        <v>111720</v>
      </c>
      <c r="I432" s="5">
        <f t="shared" si="285"/>
        <v>176400</v>
      </c>
      <c r="J432" s="5">
        <f t="shared" si="285"/>
        <v>156800</v>
      </c>
      <c r="K432" s="5">
        <f t="shared" si="285"/>
        <v>133280</v>
      </c>
      <c r="L432" s="5">
        <f t="shared" si="285"/>
        <v>111720</v>
      </c>
      <c r="M432" s="5">
        <f t="shared" si="285"/>
        <v>111720</v>
      </c>
      <c r="N432" s="5">
        <f t="shared" si="285"/>
        <v>133280</v>
      </c>
      <c r="O432" s="5">
        <f t="shared" si="285"/>
        <v>176400</v>
      </c>
      <c r="P432" s="5">
        <f t="shared" si="285"/>
        <v>221480</v>
      </c>
      <c r="Q432" s="5">
        <f t="shared" si="285"/>
        <v>266560</v>
      </c>
      <c r="R432" s="5">
        <f t="shared" si="285"/>
        <v>354760</v>
      </c>
      <c r="S432" s="5">
        <f t="shared" si="285"/>
        <v>333200</v>
      </c>
      <c r="T432" s="5">
        <f t="shared" si="285"/>
        <v>399840</v>
      </c>
      <c r="U432" s="5">
        <f t="shared" si="285"/>
        <v>444920</v>
      </c>
      <c r="V432" s="5">
        <f t="shared" si="285"/>
        <v>354760</v>
      </c>
      <c r="W432" s="5">
        <f t="shared" si="285"/>
        <v>309680</v>
      </c>
      <c r="X432" s="5">
        <f t="shared" si="285"/>
        <v>245000</v>
      </c>
      <c r="Y432" s="5">
        <f t="shared" si="285"/>
        <v>245000</v>
      </c>
      <c r="Z432" s="5">
        <f t="shared" si="285"/>
        <v>266560</v>
      </c>
      <c r="AA432" s="5">
        <f t="shared" si="285"/>
        <v>444920</v>
      </c>
      <c r="AB432" s="5">
        <f t="shared" si="285"/>
        <v>488040</v>
      </c>
      <c r="AC432" s="5">
        <f t="shared" si="285"/>
        <v>554680</v>
      </c>
      <c r="AD432" s="5">
        <f t="shared" si="285"/>
        <v>666400</v>
      </c>
      <c r="AE432" s="10"/>
      <c r="AF432" s="10"/>
      <c r="AG432" s="10"/>
      <c r="AH432" s="10"/>
      <c r="AI432" s="10"/>
      <c r="AJ432" s="10"/>
      <c r="AK432" s="10"/>
      <c r="AL432" s="10"/>
      <c r="AM432" s="10"/>
    </row>
    <row r="433" spans="1:39" ht="15.75" hidden="1" customHeight="1" outlineLevel="1" x14ac:dyDescent="0.2">
      <c r="A433" s="120"/>
      <c r="B433" s="485" t="s">
        <v>122</v>
      </c>
      <c r="C433" s="477"/>
      <c r="D433" s="5">
        <f t="shared" ref="D433:AD433" si="286">D432-D431</f>
        <v>21560</v>
      </c>
      <c r="E433" s="5">
        <f t="shared" si="286"/>
        <v>23520</v>
      </c>
      <c r="F433" s="5">
        <f t="shared" si="286"/>
        <v>21560</v>
      </c>
      <c r="G433" s="5">
        <f t="shared" si="286"/>
        <v>45080</v>
      </c>
      <c r="H433" s="5">
        <f t="shared" si="286"/>
        <v>0</v>
      </c>
      <c r="I433" s="5">
        <f t="shared" si="286"/>
        <v>64680</v>
      </c>
      <c r="J433" s="5">
        <f t="shared" si="286"/>
        <v>-19600</v>
      </c>
      <c r="K433" s="5">
        <f t="shared" si="286"/>
        <v>-23520</v>
      </c>
      <c r="L433" s="5">
        <f t="shared" si="286"/>
        <v>-21560</v>
      </c>
      <c r="M433" s="5">
        <f t="shared" si="286"/>
        <v>0</v>
      </c>
      <c r="N433" s="5">
        <f t="shared" si="286"/>
        <v>21560</v>
      </c>
      <c r="O433" s="5">
        <f t="shared" si="286"/>
        <v>43120</v>
      </c>
      <c r="P433" s="5">
        <f t="shared" si="286"/>
        <v>45080</v>
      </c>
      <c r="Q433" s="5">
        <f t="shared" si="286"/>
        <v>45080</v>
      </c>
      <c r="R433" s="5">
        <f t="shared" si="286"/>
        <v>88200</v>
      </c>
      <c r="S433" s="5">
        <f t="shared" si="286"/>
        <v>-21560</v>
      </c>
      <c r="T433" s="5">
        <f t="shared" si="286"/>
        <v>66640</v>
      </c>
      <c r="U433" s="5">
        <f t="shared" si="286"/>
        <v>45080</v>
      </c>
      <c r="V433" s="5">
        <f t="shared" si="286"/>
        <v>-90160</v>
      </c>
      <c r="W433" s="5">
        <f t="shared" si="286"/>
        <v>-45080</v>
      </c>
      <c r="X433" s="5">
        <f t="shared" si="286"/>
        <v>-64680</v>
      </c>
      <c r="Y433" s="5">
        <f t="shared" si="286"/>
        <v>0</v>
      </c>
      <c r="Z433" s="5">
        <f t="shared" si="286"/>
        <v>21560</v>
      </c>
      <c r="AA433" s="5">
        <f t="shared" si="286"/>
        <v>178360</v>
      </c>
      <c r="AB433" s="5">
        <f t="shared" si="286"/>
        <v>43120</v>
      </c>
      <c r="AC433" s="5">
        <f t="shared" si="286"/>
        <v>66640</v>
      </c>
      <c r="AD433" s="5">
        <f t="shared" si="286"/>
        <v>111720</v>
      </c>
      <c r="AE433" s="10"/>
      <c r="AF433" s="10"/>
      <c r="AG433" s="10"/>
      <c r="AH433" s="10"/>
      <c r="AI433" s="10"/>
      <c r="AJ433" s="10"/>
      <c r="AK433" s="10"/>
      <c r="AL433" s="10"/>
      <c r="AM433" s="10"/>
    </row>
    <row r="434" spans="1:39" ht="15.75" customHeight="1" x14ac:dyDescent="0.2">
      <c r="A434" s="120"/>
      <c r="B434" s="127"/>
      <c r="C434" s="127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180"/>
      <c r="AD434" s="9"/>
      <c r="AE434" s="10"/>
      <c r="AF434" s="10"/>
      <c r="AG434" s="10"/>
      <c r="AH434" s="10"/>
      <c r="AI434" s="10"/>
      <c r="AJ434" s="10"/>
      <c r="AK434" s="10"/>
      <c r="AL434" s="10"/>
      <c r="AM434" s="10"/>
    </row>
    <row r="435" spans="1:39" ht="15.75" customHeight="1" x14ac:dyDescent="0.2">
      <c r="A435" s="18"/>
      <c r="B435" s="103" t="s">
        <v>123</v>
      </c>
      <c r="C435" s="103"/>
      <c r="D435" s="181" t="s">
        <v>14</v>
      </c>
      <c r="E435" s="181" t="s">
        <v>15</v>
      </c>
      <c r="F435" s="181" t="s">
        <v>16</v>
      </c>
      <c r="G435" s="181" t="s">
        <v>17</v>
      </c>
      <c r="H435" s="181" t="s">
        <v>18</v>
      </c>
      <c r="I435" s="181" t="s">
        <v>19</v>
      </c>
      <c r="J435" s="181" t="s">
        <v>20</v>
      </c>
      <c r="K435" s="181" t="s">
        <v>21</v>
      </c>
      <c r="L435" s="181" t="s">
        <v>22</v>
      </c>
      <c r="M435" s="181" t="s">
        <v>23</v>
      </c>
      <c r="N435" s="181" t="s">
        <v>24</v>
      </c>
      <c r="O435" s="181" t="s">
        <v>25</v>
      </c>
      <c r="P435" s="181" t="s">
        <v>14</v>
      </c>
      <c r="Q435" s="181" t="s">
        <v>26</v>
      </c>
      <c r="R435" s="181" t="s">
        <v>16</v>
      </c>
      <c r="S435" s="181" t="s">
        <v>17</v>
      </c>
      <c r="T435" s="181" t="s">
        <v>18</v>
      </c>
      <c r="U435" s="181" t="s">
        <v>19</v>
      </c>
      <c r="V435" s="181" t="s">
        <v>20</v>
      </c>
      <c r="W435" s="181" t="s">
        <v>21</v>
      </c>
      <c r="X435" s="181" t="s">
        <v>22</v>
      </c>
      <c r="Y435" s="181" t="s">
        <v>23</v>
      </c>
      <c r="Z435" s="181" t="s">
        <v>24</v>
      </c>
      <c r="AA435" s="181" t="s">
        <v>25</v>
      </c>
      <c r="AB435" s="181" t="s">
        <v>14</v>
      </c>
      <c r="AC435" s="181" t="s">
        <v>14</v>
      </c>
      <c r="AD435" s="181" t="s">
        <v>16</v>
      </c>
      <c r="AE435" s="10"/>
      <c r="AF435" s="10"/>
      <c r="AG435" s="10"/>
      <c r="AH435" s="10"/>
      <c r="AI435" s="10"/>
      <c r="AJ435" s="10"/>
      <c r="AK435" s="10"/>
      <c r="AL435" s="10"/>
      <c r="AM435" s="10"/>
    </row>
    <row r="436" spans="1:39" ht="15.75" customHeight="1" x14ac:dyDescent="0.2">
      <c r="A436" s="25"/>
      <c r="B436" s="134"/>
      <c r="C436" s="134"/>
      <c r="D436" s="72"/>
      <c r="E436" s="72"/>
      <c r="F436" s="72"/>
      <c r="G436" s="72"/>
      <c r="H436" s="72"/>
      <c r="I436" s="72"/>
      <c r="J436" s="72"/>
      <c r="K436" s="72"/>
      <c r="L436" s="72"/>
      <c r="M436" s="72"/>
      <c r="N436" s="72"/>
      <c r="O436" s="72"/>
      <c r="P436" s="72"/>
      <c r="Q436" s="72"/>
      <c r="R436" s="72"/>
      <c r="S436" s="72"/>
      <c r="T436" s="72"/>
      <c r="U436" s="72"/>
      <c r="V436" s="72"/>
      <c r="W436" s="72"/>
      <c r="X436" s="72"/>
      <c r="Y436" s="72"/>
      <c r="Z436" s="72"/>
      <c r="AA436" s="72"/>
      <c r="AB436" s="72"/>
      <c r="AC436" s="72"/>
      <c r="AD436" s="72"/>
      <c r="AE436" s="10"/>
      <c r="AF436" s="10"/>
      <c r="AG436" s="10"/>
      <c r="AH436" s="10"/>
      <c r="AI436" s="10"/>
      <c r="AJ436" s="10"/>
      <c r="AK436" s="10"/>
      <c r="AL436" s="10"/>
      <c r="AM436" s="10"/>
    </row>
    <row r="437" spans="1:39" ht="15.75" customHeight="1" x14ac:dyDescent="0.2">
      <c r="A437" s="177"/>
      <c r="B437" s="490" t="s">
        <v>124</v>
      </c>
      <c r="C437" s="477"/>
      <c r="D437" s="183">
        <f t="shared" ref="D437:AD437" si="287">C443</f>
        <v>0</v>
      </c>
      <c r="E437" s="183">
        <f t="shared" si="287"/>
        <v>-63066.945000000007</v>
      </c>
      <c r="F437" s="183">
        <f t="shared" si="287"/>
        <v>-69443.210000000006</v>
      </c>
      <c r="G437" s="183">
        <f t="shared" si="287"/>
        <v>14145.997499999954</v>
      </c>
      <c r="H437" s="183">
        <f t="shared" si="287"/>
        <v>240343.26374999993</v>
      </c>
      <c r="I437" s="183">
        <f t="shared" si="287"/>
        <v>527861.55479999993</v>
      </c>
      <c r="J437" s="183">
        <f t="shared" si="287"/>
        <v>1000501.903325</v>
      </c>
      <c r="K437" s="183">
        <f t="shared" si="287"/>
        <v>1413211.6806653445</v>
      </c>
      <c r="L437" s="183">
        <f t="shared" si="287"/>
        <v>1800304.2870336312</v>
      </c>
      <c r="M437" s="183">
        <f t="shared" si="287"/>
        <v>2112857.8871386712</v>
      </c>
      <c r="N437" s="183">
        <f t="shared" si="287"/>
        <v>2400084.6805618256</v>
      </c>
      <c r="O437" s="183">
        <f t="shared" si="287"/>
        <v>2715496.2258136231</v>
      </c>
      <c r="P437" s="183">
        <f t="shared" si="287"/>
        <v>3137481.5531036025</v>
      </c>
      <c r="Q437" s="183">
        <f t="shared" si="287"/>
        <v>3697020.4645565385</v>
      </c>
      <c r="R437" s="183">
        <f t="shared" si="287"/>
        <v>4411181.8848816454</v>
      </c>
      <c r="S437" s="183">
        <f t="shared" si="287"/>
        <v>5392640.8410594873</v>
      </c>
      <c r="T437" s="183">
        <f t="shared" si="287"/>
        <v>6447918.5450506834</v>
      </c>
      <c r="U437" s="183">
        <f t="shared" si="287"/>
        <v>7669438.7451229235</v>
      </c>
      <c r="V437" s="183">
        <f t="shared" si="287"/>
        <v>9042873.869379675</v>
      </c>
      <c r="W437" s="183">
        <f t="shared" si="287"/>
        <v>10325136.606026715</v>
      </c>
      <c r="X437" s="183">
        <f t="shared" si="287"/>
        <v>11449640.527396807</v>
      </c>
      <c r="Y437" s="183">
        <f t="shared" si="287"/>
        <v>12359899.865483746</v>
      </c>
      <c r="Z437" s="183">
        <f t="shared" si="287"/>
        <v>13187213.960594183</v>
      </c>
      <c r="AA437" s="183">
        <f t="shared" si="287"/>
        <v>14021223.807978228</v>
      </c>
      <c r="AB437" s="183">
        <f t="shared" si="287"/>
        <v>15238812.628054984</v>
      </c>
      <c r="AC437" s="183">
        <f t="shared" si="287"/>
        <v>16722326.727687672</v>
      </c>
      <c r="AD437" s="183">
        <f t="shared" si="287"/>
        <v>18480027.614252917</v>
      </c>
      <c r="AE437" s="10"/>
      <c r="AF437" s="10"/>
      <c r="AG437" s="10"/>
      <c r="AH437" s="10"/>
      <c r="AI437" s="10"/>
      <c r="AJ437" s="10"/>
      <c r="AK437" s="10"/>
      <c r="AL437" s="10"/>
      <c r="AM437" s="10"/>
    </row>
    <row r="438" spans="1:39" ht="15.75" customHeight="1" x14ac:dyDescent="0.2">
      <c r="A438" s="34"/>
      <c r="B438" s="488" t="s">
        <v>125</v>
      </c>
      <c r="C438" s="477"/>
      <c r="D438" s="5">
        <f>D366+D369+D371-D413</f>
        <v>-63066.945000000007</v>
      </c>
      <c r="E438" s="5">
        <f t="shared" ref="D438:AD438" si="288">E366+E369+E371-E413</f>
        <v>-6376.2649999999958</v>
      </c>
      <c r="F438" s="5">
        <f t="shared" si="288"/>
        <v>83589.20749999996</v>
      </c>
      <c r="G438" s="5">
        <f t="shared" si="288"/>
        <v>226197.26624999999</v>
      </c>
      <c r="H438" s="5">
        <f t="shared" si="288"/>
        <v>287518.29105</v>
      </c>
      <c r="I438" s="5">
        <f t="shared" si="288"/>
        <v>472640.34852500004</v>
      </c>
      <c r="J438" s="5">
        <f t="shared" si="288"/>
        <v>491537.80398100021</v>
      </c>
      <c r="K438" s="5">
        <f t="shared" si="288"/>
        <v>458890.20827549999</v>
      </c>
      <c r="L438" s="5">
        <f t="shared" si="288"/>
        <v>373440.94137581997</v>
      </c>
      <c r="M438" s="5">
        <f t="shared" si="288"/>
        <v>347749.8961706101</v>
      </c>
      <c r="N438" s="5">
        <f t="shared" si="288"/>
        <v>384636.9070526805</v>
      </c>
      <c r="O438" s="5">
        <f t="shared" si="288"/>
        <v>511024.32710753416</v>
      </c>
      <c r="P438" s="5">
        <f t="shared" si="288"/>
        <v>670134.80990158964</v>
      </c>
      <c r="Q438" s="5">
        <f t="shared" si="288"/>
        <v>847775.20356365736</v>
      </c>
      <c r="R438" s="5">
        <f t="shared" si="288"/>
        <v>1158168.9743283496</v>
      </c>
      <c r="S438" s="5">
        <f t="shared" si="288"/>
        <v>1224766.6854840047</v>
      </c>
      <c r="T438" s="5">
        <f t="shared" si="288"/>
        <v>1426758.0368522368</v>
      </c>
      <c r="U438" s="5">
        <f t="shared" si="288"/>
        <v>1599037.9969064808</v>
      </c>
      <c r="V438" s="5">
        <f t="shared" si="288"/>
        <v>1470812.688607492</v>
      </c>
      <c r="W438" s="5">
        <f t="shared" si="288"/>
        <v>1294398.0623694258</v>
      </c>
      <c r="X438" s="5">
        <f t="shared" si="288"/>
        <v>1046665.2389936482</v>
      </c>
      <c r="Y438" s="5">
        <f t="shared" si="288"/>
        <v>961953.80367127387</v>
      </c>
      <c r="Z438" s="5">
        <f t="shared" si="288"/>
        <v>974523.80787860265</v>
      </c>
      <c r="AA438" s="5">
        <f t="shared" si="288"/>
        <v>1440002.0871076803</v>
      </c>
      <c r="AB438" s="5">
        <f t="shared" si="288"/>
        <v>1725957.8414332927</v>
      </c>
      <c r="AC438" s="5">
        <f t="shared" si="288"/>
        <v>2039926.1012136894</v>
      </c>
      <c r="AD438" s="5">
        <f t="shared" si="288"/>
        <v>2410297.6189653245</v>
      </c>
      <c r="AE438" s="10"/>
      <c r="AF438" s="10"/>
      <c r="AG438" s="10"/>
      <c r="AH438" s="10"/>
      <c r="AI438" s="10"/>
      <c r="AJ438" s="10"/>
      <c r="AK438" s="10"/>
      <c r="AL438" s="10"/>
      <c r="AM438" s="10"/>
    </row>
    <row r="439" spans="1:39" ht="15.75" customHeight="1" x14ac:dyDescent="0.2">
      <c r="A439" s="34"/>
      <c r="B439" s="488" t="s">
        <v>126</v>
      </c>
      <c r="C439" s="477"/>
      <c r="D439" s="5">
        <f t="shared" ref="D439:AD439" si="289">D379</f>
        <v>0</v>
      </c>
      <c r="E439" s="5">
        <f t="shared" si="289"/>
        <v>0</v>
      </c>
      <c r="F439" s="5">
        <f t="shared" si="289"/>
        <v>0</v>
      </c>
      <c r="G439" s="5">
        <f t="shared" si="289"/>
        <v>0</v>
      </c>
      <c r="H439" s="5">
        <f t="shared" si="289"/>
        <v>0</v>
      </c>
      <c r="I439" s="5">
        <f t="shared" si="289"/>
        <v>0</v>
      </c>
      <c r="J439" s="5">
        <f t="shared" si="289"/>
        <v>0</v>
      </c>
      <c r="K439" s="5">
        <f t="shared" si="289"/>
        <v>0</v>
      </c>
      <c r="L439" s="5">
        <f t="shared" si="289"/>
        <v>0</v>
      </c>
      <c r="M439" s="5">
        <f t="shared" si="289"/>
        <v>0</v>
      </c>
      <c r="N439" s="5">
        <f t="shared" si="289"/>
        <v>0</v>
      </c>
      <c r="O439" s="5">
        <f t="shared" si="289"/>
        <v>0</v>
      </c>
      <c r="P439" s="5">
        <f t="shared" si="289"/>
        <v>0</v>
      </c>
      <c r="Q439" s="5">
        <f t="shared" si="289"/>
        <v>0</v>
      </c>
      <c r="R439" s="5">
        <f t="shared" si="289"/>
        <v>0</v>
      </c>
      <c r="S439" s="5">
        <f t="shared" si="289"/>
        <v>0</v>
      </c>
      <c r="T439" s="5">
        <f t="shared" si="289"/>
        <v>0</v>
      </c>
      <c r="U439" s="5">
        <f t="shared" si="289"/>
        <v>0</v>
      </c>
      <c r="V439" s="5">
        <f t="shared" si="289"/>
        <v>0</v>
      </c>
      <c r="W439" s="5">
        <f t="shared" si="289"/>
        <v>0</v>
      </c>
      <c r="X439" s="5">
        <f t="shared" si="289"/>
        <v>0</v>
      </c>
      <c r="Y439" s="5">
        <f t="shared" si="289"/>
        <v>0</v>
      </c>
      <c r="Z439" s="5">
        <f t="shared" si="289"/>
        <v>0</v>
      </c>
      <c r="AA439" s="5">
        <f t="shared" si="289"/>
        <v>0</v>
      </c>
      <c r="AB439" s="5">
        <f t="shared" si="289"/>
        <v>0</v>
      </c>
      <c r="AC439" s="5">
        <f t="shared" si="289"/>
        <v>0</v>
      </c>
      <c r="AD439" s="5">
        <f t="shared" si="289"/>
        <v>0</v>
      </c>
      <c r="AE439" s="10"/>
      <c r="AF439" s="10"/>
      <c r="AG439" s="10"/>
      <c r="AH439" s="10"/>
      <c r="AI439" s="10"/>
      <c r="AJ439" s="10"/>
      <c r="AK439" s="10"/>
      <c r="AL439" s="10"/>
      <c r="AM439" s="10"/>
    </row>
    <row r="440" spans="1:39" ht="15.75" customHeight="1" x14ac:dyDescent="0.2">
      <c r="A440" s="34"/>
      <c r="B440" s="488" t="s">
        <v>127</v>
      </c>
      <c r="C440" s="477"/>
      <c r="D440" s="5">
        <f t="shared" ref="D440:AD440" si="290">D401</f>
        <v>0</v>
      </c>
      <c r="E440" s="5">
        <f t="shared" si="290"/>
        <v>0</v>
      </c>
      <c r="F440" s="5">
        <f t="shared" si="290"/>
        <v>0</v>
      </c>
      <c r="G440" s="5">
        <f t="shared" si="290"/>
        <v>0</v>
      </c>
      <c r="H440" s="5">
        <f t="shared" si="290"/>
        <v>0</v>
      </c>
      <c r="I440" s="5">
        <f t="shared" si="290"/>
        <v>0</v>
      </c>
      <c r="J440" s="5">
        <f t="shared" si="290"/>
        <v>0</v>
      </c>
      <c r="K440" s="5">
        <f t="shared" si="290"/>
        <v>0</v>
      </c>
      <c r="L440" s="5">
        <f t="shared" si="290"/>
        <v>0</v>
      </c>
      <c r="M440" s="5">
        <f t="shared" si="290"/>
        <v>0</v>
      </c>
      <c r="N440" s="5">
        <f t="shared" si="290"/>
        <v>0</v>
      </c>
      <c r="O440" s="5">
        <f t="shared" si="290"/>
        <v>0</v>
      </c>
      <c r="P440" s="5">
        <f t="shared" si="290"/>
        <v>0</v>
      </c>
      <c r="Q440" s="5">
        <f t="shared" si="290"/>
        <v>0</v>
      </c>
      <c r="R440" s="5">
        <f t="shared" si="290"/>
        <v>0</v>
      </c>
      <c r="S440" s="5">
        <f t="shared" si="290"/>
        <v>0</v>
      </c>
      <c r="T440" s="5">
        <f t="shared" si="290"/>
        <v>0</v>
      </c>
      <c r="U440" s="5">
        <f t="shared" si="290"/>
        <v>0</v>
      </c>
      <c r="V440" s="5">
        <f t="shared" si="290"/>
        <v>0</v>
      </c>
      <c r="W440" s="5">
        <f t="shared" si="290"/>
        <v>0</v>
      </c>
      <c r="X440" s="5">
        <f t="shared" si="290"/>
        <v>0</v>
      </c>
      <c r="Y440" s="5">
        <f t="shared" si="290"/>
        <v>0</v>
      </c>
      <c r="Z440" s="5">
        <f t="shared" si="290"/>
        <v>0</v>
      </c>
      <c r="AA440" s="5">
        <f t="shared" si="290"/>
        <v>0</v>
      </c>
      <c r="AB440" s="5">
        <f t="shared" si="290"/>
        <v>0</v>
      </c>
      <c r="AC440" s="5">
        <f t="shared" si="290"/>
        <v>0</v>
      </c>
      <c r="AD440" s="5">
        <f t="shared" si="290"/>
        <v>0</v>
      </c>
      <c r="AE440" s="10"/>
      <c r="AF440" s="10"/>
      <c r="AG440" s="10"/>
      <c r="AH440" s="10"/>
      <c r="AI440" s="10"/>
      <c r="AJ440" s="10"/>
      <c r="AK440" s="10"/>
      <c r="AL440" s="10"/>
      <c r="AM440" s="10"/>
    </row>
    <row r="441" spans="1:39" ht="15.75" customHeight="1" x14ac:dyDescent="0.2">
      <c r="A441" s="34"/>
      <c r="B441" s="488" t="s">
        <v>128</v>
      </c>
      <c r="C441" s="477"/>
      <c r="D441" s="5">
        <f t="shared" ref="D441:AD441" si="291">D438+D439+D440</f>
        <v>-63066.945000000007</v>
      </c>
      <c r="E441" s="5">
        <f t="shared" si="291"/>
        <v>-6376.2649999999958</v>
      </c>
      <c r="F441" s="5">
        <f t="shared" si="291"/>
        <v>83589.20749999996</v>
      </c>
      <c r="G441" s="5">
        <f t="shared" si="291"/>
        <v>226197.26624999999</v>
      </c>
      <c r="H441" s="5">
        <f t="shared" si="291"/>
        <v>287518.29105</v>
      </c>
      <c r="I441" s="5">
        <f t="shared" si="291"/>
        <v>472640.34852500004</v>
      </c>
      <c r="J441" s="5">
        <f t="shared" si="291"/>
        <v>491537.80398100021</v>
      </c>
      <c r="K441" s="5">
        <f t="shared" si="291"/>
        <v>458890.20827549999</v>
      </c>
      <c r="L441" s="5">
        <f t="shared" si="291"/>
        <v>373440.94137581997</v>
      </c>
      <c r="M441" s="5">
        <f t="shared" si="291"/>
        <v>347749.8961706101</v>
      </c>
      <c r="N441" s="5">
        <f t="shared" si="291"/>
        <v>384636.9070526805</v>
      </c>
      <c r="O441" s="5">
        <f t="shared" si="291"/>
        <v>511024.32710753416</v>
      </c>
      <c r="P441" s="5">
        <f t="shared" si="291"/>
        <v>670134.80990158964</v>
      </c>
      <c r="Q441" s="5">
        <f t="shared" si="291"/>
        <v>847775.20356365736</v>
      </c>
      <c r="R441" s="5">
        <f t="shared" si="291"/>
        <v>1158168.9743283496</v>
      </c>
      <c r="S441" s="5">
        <f t="shared" si="291"/>
        <v>1224766.6854840047</v>
      </c>
      <c r="T441" s="5">
        <f t="shared" si="291"/>
        <v>1426758.0368522368</v>
      </c>
      <c r="U441" s="5">
        <f t="shared" si="291"/>
        <v>1599037.9969064808</v>
      </c>
      <c r="V441" s="5">
        <f t="shared" si="291"/>
        <v>1470812.688607492</v>
      </c>
      <c r="W441" s="5">
        <f t="shared" si="291"/>
        <v>1294398.0623694258</v>
      </c>
      <c r="X441" s="5">
        <f t="shared" si="291"/>
        <v>1046665.2389936482</v>
      </c>
      <c r="Y441" s="5">
        <f t="shared" si="291"/>
        <v>961953.80367127387</v>
      </c>
      <c r="Z441" s="5">
        <f t="shared" si="291"/>
        <v>974523.80787860265</v>
      </c>
      <c r="AA441" s="5">
        <f t="shared" si="291"/>
        <v>1440002.0871076803</v>
      </c>
      <c r="AB441" s="5">
        <f t="shared" si="291"/>
        <v>1725957.8414332927</v>
      </c>
      <c r="AC441" s="5">
        <f t="shared" si="291"/>
        <v>2039926.1012136894</v>
      </c>
      <c r="AD441" s="5">
        <f t="shared" si="291"/>
        <v>2410297.6189653245</v>
      </c>
      <c r="AE441" s="10"/>
      <c r="AF441" s="10"/>
      <c r="AG441" s="10"/>
      <c r="AH441" s="10"/>
      <c r="AI441" s="10"/>
      <c r="AJ441" s="10"/>
      <c r="AK441" s="10"/>
      <c r="AL441" s="10"/>
      <c r="AM441" s="10"/>
    </row>
    <row r="442" spans="1:39" ht="15.75" customHeight="1" x14ac:dyDescent="0.2">
      <c r="A442" s="177"/>
      <c r="B442" s="184" t="s">
        <v>87</v>
      </c>
      <c r="C442" s="172"/>
      <c r="D442" s="136"/>
      <c r="E442" s="136"/>
      <c r="F442" s="136"/>
      <c r="G442" s="136"/>
      <c r="H442" s="136"/>
      <c r="I442" s="136"/>
      <c r="J442" s="185">
        <f t="shared" ref="J442:AD442" si="292">-J488</f>
        <v>-78828.026640655749</v>
      </c>
      <c r="K442" s="185">
        <f t="shared" si="292"/>
        <v>-71797.601907213117</v>
      </c>
      <c r="L442" s="185">
        <f t="shared" si="292"/>
        <v>-60887.341270780329</v>
      </c>
      <c r="M442" s="185">
        <f t="shared" si="292"/>
        <v>-60523.102747455741</v>
      </c>
      <c r="N442" s="185">
        <f t="shared" si="292"/>
        <v>-69225.361800883155</v>
      </c>
      <c r="O442" s="185">
        <f t="shared" si="292"/>
        <v>-89038.999817555043</v>
      </c>
      <c r="P442" s="185">
        <f t="shared" si="292"/>
        <v>-110595.89844865332</v>
      </c>
      <c r="Q442" s="185">
        <f t="shared" si="292"/>
        <v>-133613.78323855062</v>
      </c>
      <c r="R442" s="185">
        <f t="shared" si="292"/>
        <v>-176710.01815050704</v>
      </c>
      <c r="S442" s="185">
        <f t="shared" si="292"/>
        <v>-169488.98149280902</v>
      </c>
      <c r="T442" s="185">
        <f t="shared" si="292"/>
        <v>-205237.83677999681</v>
      </c>
      <c r="U442" s="185">
        <f t="shared" si="292"/>
        <v>-225602.87264972946</v>
      </c>
      <c r="V442" s="185">
        <f t="shared" si="292"/>
        <v>-188549.95196045176</v>
      </c>
      <c r="W442" s="185">
        <f t="shared" si="292"/>
        <v>-169894.14099933393</v>
      </c>
      <c r="X442" s="185">
        <f t="shared" si="292"/>
        <v>-136405.90090670926</v>
      </c>
      <c r="Y442" s="185">
        <f t="shared" si="292"/>
        <v>-134639.70856083711</v>
      </c>
      <c r="Z442" s="185">
        <f t="shared" si="292"/>
        <v>-140513.96049455801</v>
      </c>
      <c r="AA442" s="185">
        <f t="shared" si="292"/>
        <v>-222413.26703092514</v>
      </c>
      <c r="AB442" s="185">
        <f t="shared" si="292"/>
        <v>-242443.74180060605</v>
      </c>
      <c r="AC442" s="185">
        <f t="shared" si="292"/>
        <v>-282225.21464844287</v>
      </c>
      <c r="AD442" s="185">
        <f t="shared" si="292"/>
        <v>-335863.60762236285</v>
      </c>
      <c r="AE442" s="87"/>
      <c r="AF442" s="87"/>
      <c r="AG442" s="87"/>
      <c r="AH442" s="87"/>
      <c r="AI442" s="87"/>
      <c r="AJ442" s="87"/>
      <c r="AK442" s="87"/>
      <c r="AL442" s="87"/>
      <c r="AM442" s="87"/>
    </row>
    <row r="443" spans="1:39" ht="15.75" customHeight="1" x14ac:dyDescent="0.25">
      <c r="A443" s="177"/>
      <c r="B443" s="182" t="s">
        <v>129</v>
      </c>
      <c r="C443" s="172">
        <v>0</v>
      </c>
      <c r="D443" s="185">
        <f t="shared" ref="D443:AD443" si="293">D437+D441+D442-D445</f>
        <v>-63066.945000000007</v>
      </c>
      <c r="E443" s="185">
        <f t="shared" si="293"/>
        <v>-69443.210000000006</v>
      </c>
      <c r="F443" s="185">
        <f t="shared" si="293"/>
        <v>14145.997499999954</v>
      </c>
      <c r="G443" s="185">
        <f t="shared" si="293"/>
        <v>240343.26374999993</v>
      </c>
      <c r="H443" s="185">
        <f t="shared" si="293"/>
        <v>527861.55479999993</v>
      </c>
      <c r="I443" s="185">
        <f t="shared" si="293"/>
        <v>1000501.903325</v>
      </c>
      <c r="J443" s="185">
        <f t="shared" si="293"/>
        <v>1413211.6806653445</v>
      </c>
      <c r="K443" s="185">
        <f t="shared" si="293"/>
        <v>1800304.2870336312</v>
      </c>
      <c r="L443" s="185">
        <f t="shared" si="293"/>
        <v>2112857.8871386712</v>
      </c>
      <c r="M443" s="185">
        <f t="shared" si="293"/>
        <v>2400084.6805618256</v>
      </c>
      <c r="N443" s="185">
        <f t="shared" si="293"/>
        <v>2715496.2258136231</v>
      </c>
      <c r="O443" s="185">
        <f t="shared" si="293"/>
        <v>3137481.5531036025</v>
      </c>
      <c r="P443" s="185">
        <f t="shared" si="293"/>
        <v>3697020.4645565385</v>
      </c>
      <c r="Q443" s="185">
        <f t="shared" si="293"/>
        <v>4411181.8848816454</v>
      </c>
      <c r="R443" s="185">
        <f t="shared" si="293"/>
        <v>5392640.8410594873</v>
      </c>
      <c r="S443" s="185">
        <f t="shared" si="293"/>
        <v>6447918.5450506834</v>
      </c>
      <c r="T443" s="185">
        <f t="shared" si="293"/>
        <v>7669438.7451229235</v>
      </c>
      <c r="U443" s="185">
        <f t="shared" si="293"/>
        <v>9042873.869379675</v>
      </c>
      <c r="V443" s="185">
        <f t="shared" si="293"/>
        <v>10325136.606026715</v>
      </c>
      <c r="W443" s="185">
        <f t="shared" si="293"/>
        <v>11449640.527396807</v>
      </c>
      <c r="X443" s="185">
        <f t="shared" si="293"/>
        <v>12359899.865483746</v>
      </c>
      <c r="Y443" s="185">
        <f t="shared" si="293"/>
        <v>13187213.960594183</v>
      </c>
      <c r="Z443" s="185">
        <f t="shared" si="293"/>
        <v>14021223.807978228</v>
      </c>
      <c r="AA443" s="185">
        <f t="shared" si="293"/>
        <v>15238812.628054984</v>
      </c>
      <c r="AB443" s="185">
        <f t="shared" si="293"/>
        <v>16722326.727687672</v>
      </c>
      <c r="AC443" s="185">
        <f t="shared" si="293"/>
        <v>18480027.614252917</v>
      </c>
      <c r="AD443" s="185">
        <f t="shared" si="293"/>
        <v>20554461.625595879</v>
      </c>
      <c r="AE443" s="87"/>
      <c r="AF443" s="87"/>
      <c r="AG443" s="87"/>
      <c r="AH443" s="87"/>
      <c r="AI443" s="87"/>
      <c r="AJ443" s="87"/>
      <c r="AK443" s="87"/>
      <c r="AL443" s="87"/>
      <c r="AM443" s="87"/>
    </row>
    <row r="444" spans="1:39" ht="15.75" customHeight="1" x14ac:dyDescent="0.2">
      <c r="A444" s="34"/>
      <c r="B444" s="485"/>
      <c r="C444" s="477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10"/>
      <c r="AF444" s="10"/>
      <c r="AG444" s="10"/>
      <c r="AH444" s="10"/>
      <c r="AI444" s="10"/>
      <c r="AJ444" s="10"/>
      <c r="AK444" s="10"/>
      <c r="AL444" s="10"/>
      <c r="AM444" s="10"/>
    </row>
    <row r="445" spans="1:39" ht="15.75" hidden="1" customHeight="1" x14ac:dyDescent="0.2">
      <c r="A445" s="177"/>
      <c r="B445" s="186" t="s">
        <v>130</v>
      </c>
      <c r="C445" s="125"/>
      <c r="D445" s="185">
        <f t="shared" ref="D445:AD445" si="294">$C$445</f>
        <v>0</v>
      </c>
      <c r="E445" s="185">
        <f t="shared" si="294"/>
        <v>0</v>
      </c>
      <c r="F445" s="185">
        <f t="shared" si="294"/>
        <v>0</v>
      </c>
      <c r="G445" s="185">
        <f t="shared" si="294"/>
        <v>0</v>
      </c>
      <c r="H445" s="185">
        <f t="shared" si="294"/>
        <v>0</v>
      </c>
      <c r="I445" s="185">
        <f t="shared" si="294"/>
        <v>0</v>
      </c>
      <c r="J445" s="185">
        <f t="shared" si="294"/>
        <v>0</v>
      </c>
      <c r="K445" s="185">
        <f t="shared" si="294"/>
        <v>0</v>
      </c>
      <c r="L445" s="185">
        <f t="shared" si="294"/>
        <v>0</v>
      </c>
      <c r="M445" s="185">
        <f t="shared" si="294"/>
        <v>0</v>
      </c>
      <c r="N445" s="185">
        <f t="shared" si="294"/>
        <v>0</v>
      </c>
      <c r="O445" s="185">
        <f t="shared" si="294"/>
        <v>0</v>
      </c>
      <c r="P445" s="185">
        <f t="shared" si="294"/>
        <v>0</v>
      </c>
      <c r="Q445" s="185">
        <f t="shared" si="294"/>
        <v>0</v>
      </c>
      <c r="R445" s="185">
        <f t="shared" si="294"/>
        <v>0</v>
      </c>
      <c r="S445" s="185">
        <f t="shared" si="294"/>
        <v>0</v>
      </c>
      <c r="T445" s="185">
        <f t="shared" si="294"/>
        <v>0</v>
      </c>
      <c r="U445" s="185">
        <f t="shared" si="294"/>
        <v>0</v>
      </c>
      <c r="V445" s="185">
        <f t="shared" si="294"/>
        <v>0</v>
      </c>
      <c r="W445" s="185">
        <f t="shared" si="294"/>
        <v>0</v>
      </c>
      <c r="X445" s="185">
        <f t="shared" si="294"/>
        <v>0</v>
      </c>
      <c r="Y445" s="185">
        <f t="shared" si="294"/>
        <v>0</v>
      </c>
      <c r="Z445" s="185">
        <f t="shared" si="294"/>
        <v>0</v>
      </c>
      <c r="AA445" s="185">
        <f t="shared" si="294"/>
        <v>0</v>
      </c>
      <c r="AB445" s="185">
        <f t="shared" si="294"/>
        <v>0</v>
      </c>
      <c r="AC445" s="185">
        <f t="shared" si="294"/>
        <v>0</v>
      </c>
      <c r="AD445" s="185">
        <f t="shared" si="294"/>
        <v>0</v>
      </c>
      <c r="AE445" s="10"/>
      <c r="AF445" s="10"/>
      <c r="AG445" s="10"/>
      <c r="AH445" s="10"/>
      <c r="AI445" s="10"/>
      <c r="AJ445" s="10"/>
      <c r="AK445" s="10"/>
      <c r="AL445" s="10"/>
      <c r="AM445" s="10"/>
    </row>
    <row r="446" spans="1:39" ht="15.75" hidden="1" customHeight="1" x14ac:dyDescent="0.2">
      <c r="A446" s="177"/>
      <c r="B446" s="187"/>
      <c r="C446" s="6"/>
      <c r="D446" s="183"/>
      <c r="E446" s="183"/>
      <c r="F446" s="183"/>
      <c r="G446" s="185"/>
      <c r="H446" s="185"/>
      <c r="I446" s="185"/>
      <c r="J446" s="185"/>
      <c r="K446" s="185"/>
      <c r="L446" s="185"/>
      <c r="M446" s="185"/>
      <c r="N446" s="185"/>
      <c r="O446" s="185"/>
      <c r="P446" s="185"/>
      <c r="Q446" s="185"/>
      <c r="R446" s="185"/>
      <c r="S446" s="185"/>
      <c r="T446" s="185"/>
      <c r="U446" s="185"/>
      <c r="V446" s="185"/>
      <c r="W446" s="185"/>
      <c r="X446" s="185"/>
      <c r="Y446" s="185"/>
      <c r="Z446" s="185"/>
      <c r="AA446" s="185"/>
      <c r="AB446" s="185"/>
      <c r="AC446" s="185"/>
      <c r="AD446" s="185"/>
      <c r="AE446" s="10"/>
      <c r="AF446" s="10"/>
      <c r="AG446" s="10"/>
      <c r="AH446" s="10"/>
      <c r="AI446" s="10"/>
      <c r="AJ446" s="10"/>
      <c r="AK446" s="10"/>
      <c r="AL446" s="10"/>
      <c r="AM446" s="10"/>
    </row>
    <row r="447" spans="1:39" ht="15.75" hidden="1" customHeight="1" x14ac:dyDescent="0.2">
      <c r="A447" s="1"/>
      <c r="B447" s="24"/>
      <c r="C447" s="22"/>
      <c r="D447" s="22"/>
      <c r="E447" s="22"/>
      <c r="F447" s="22"/>
      <c r="G447" s="22"/>
      <c r="H447" s="22"/>
      <c r="I447" s="22"/>
      <c r="J447" s="22"/>
      <c r="K447" s="22"/>
      <c r="L447" s="22"/>
      <c r="M447" s="22"/>
      <c r="N447" s="22"/>
      <c r="O447" s="22"/>
      <c r="P447" s="22"/>
      <c r="Q447" s="22"/>
      <c r="R447" s="22"/>
      <c r="S447" s="22"/>
      <c r="T447" s="22"/>
      <c r="U447" s="22"/>
      <c r="V447" s="22"/>
      <c r="W447" s="22"/>
      <c r="X447" s="22"/>
      <c r="Y447" s="22"/>
      <c r="Z447" s="22"/>
      <c r="AA447" s="22"/>
      <c r="AB447" s="22"/>
      <c r="AC447" s="22"/>
      <c r="AD447" s="22"/>
      <c r="AE447" s="10"/>
      <c r="AF447" s="10"/>
      <c r="AG447" s="10"/>
      <c r="AH447" s="10"/>
      <c r="AI447" s="10"/>
      <c r="AJ447" s="10"/>
      <c r="AK447" s="10"/>
      <c r="AL447" s="10"/>
      <c r="AM447" s="10"/>
    </row>
    <row r="448" spans="1:39" ht="15.75" hidden="1" customHeight="1" collapsed="1" x14ac:dyDescent="0.2">
      <c r="A448" s="18"/>
      <c r="B448" s="103" t="s">
        <v>131</v>
      </c>
      <c r="C448" s="103"/>
      <c r="D448" s="77">
        <f t="shared" ref="D448:AD448" si="295">D450-D456</f>
        <v>-1516020</v>
      </c>
      <c r="E448" s="77">
        <f t="shared" si="295"/>
        <v>-1516020</v>
      </c>
      <c r="F448" s="77">
        <f t="shared" si="295"/>
        <v>-1516020</v>
      </c>
      <c r="G448" s="77">
        <f t="shared" si="295"/>
        <v>-1516020</v>
      </c>
      <c r="H448" s="77">
        <f t="shared" si="295"/>
        <v>-1516020</v>
      </c>
      <c r="I448" s="77">
        <f t="shared" si="295"/>
        <v>-1516020</v>
      </c>
      <c r="J448" s="77">
        <f t="shared" si="295"/>
        <v>-1516019.9999999995</v>
      </c>
      <c r="K448" s="77">
        <f t="shared" si="295"/>
        <v>-1516019.9999999998</v>
      </c>
      <c r="L448" s="77">
        <f t="shared" si="295"/>
        <v>-1516019.9999999995</v>
      </c>
      <c r="M448" s="77">
        <f t="shared" si="295"/>
        <v>-1516019.9999999995</v>
      </c>
      <c r="N448" s="77">
        <f t="shared" si="295"/>
        <v>-1516019.9999999995</v>
      </c>
      <c r="O448" s="77">
        <f t="shared" si="295"/>
        <v>-1516019.9999999991</v>
      </c>
      <c r="P448" s="77">
        <f t="shared" si="295"/>
        <v>-1516019.9999999991</v>
      </c>
      <c r="Q448" s="77">
        <f t="shared" si="295"/>
        <v>-1516019.9999999991</v>
      </c>
      <c r="R448" s="77">
        <f t="shared" si="295"/>
        <v>-1516020</v>
      </c>
      <c r="S448" s="77">
        <f t="shared" si="295"/>
        <v>-1516019.9999999991</v>
      </c>
      <c r="T448" s="77">
        <f t="shared" si="295"/>
        <v>-1516019.9999999981</v>
      </c>
      <c r="U448" s="77">
        <f t="shared" si="295"/>
        <v>-1516019.9999999981</v>
      </c>
      <c r="V448" s="77">
        <f t="shared" si="295"/>
        <v>-1516019.9999999981</v>
      </c>
      <c r="W448" s="77">
        <f t="shared" si="295"/>
        <v>-1516019.9999999981</v>
      </c>
      <c r="X448" s="77">
        <f t="shared" si="295"/>
        <v>-1516019.9999999981</v>
      </c>
      <c r="Y448" s="77">
        <f t="shared" si="295"/>
        <v>-1516019.9999999981</v>
      </c>
      <c r="Z448" s="77">
        <f t="shared" si="295"/>
        <v>-1516019.9999999981</v>
      </c>
      <c r="AA448" s="77">
        <f t="shared" si="295"/>
        <v>-1516019.9999999963</v>
      </c>
      <c r="AB448" s="77">
        <f t="shared" si="295"/>
        <v>-1516019.9999999963</v>
      </c>
      <c r="AC448" s="77">
        <f t="shared" si="295"/>
        <v>-1516019.9999999963</v>
      </c>
      <c r="AD448" s="77">
        <f t="shared" si="295"/>
        <v>-1516019.9999999963</v>
      </c>
      <c r="AE448" s="10"/>
      <c r="AF448" s="10"/>
      <c r="AG448" s="10"/>
      <c r="AH448" s="10"/>
      <c r="AI448" s="10"/>
      <c r="AJ448" s="10"/>
      <c r="AK448" s="10"/>
      <c r="AL448" s="10"/>
      <c r="AM448" s="10"/>
    </row>
    <row r="449" spans="1:39" ht="15.75" hidden="1" customHeight="1" outlineLevel="1" x14ac:dyDescent="0.2">
      <c r="A449" s="25"/>
      <c r="B449" s="134"/>
      <c r="C449" s="134"/>
      <c r="D449" s="72"/>
      <c r="E449" s="72"/>
      <c r="F449" s="72"/>
      <c r="G449" s="72"/>
      <c r="H449" s="72"/>
      <c r="I449" s="72"/>
      <c r="J449" s="72"/>
      <c r="K449" s="72"/>
      <c r="L449" s="72"/>
      <c r="M449" s="72"/>
      <c r="N449" s="72"/>
      <c r="O449" s="72"/>
      <c r="P449" s="72"/>
      <c r="Q449" s="72"/>
      <c r="R449" s="72"/>
      <c r="S449" s="72"/>
      <c r="T449" s="72"/>
      <c r="U449" s="72"/>
      <c r="V449" s="72"/>
      <c r="W449" s="72"/>
      <c r="X449" s="72"/>
      <c r="Y449" s="72"/>
      <c r="Z449" s="72"/>
      <c r="AA449" s="72"/>
      <c r="AB449" s="72"/>
      <c r="AC449" s="72"/>
      <c r="AD449" s="72"/>
      <c r="AE449" s="10"/>
      <c r="AF449" s="10"/>
      <c r="AG449" s="10"/>
      <c r="AH449" s="10"/>
      <c r="AI449" s="10"/>
      <c r="AJ449" s="10"/>
      <c r="AK449" s="10"/>
      <c r="AL449" s="10"/>
      <c r="AM449" s="10"/>
    </row>
    <row r="450" spans="1:39" ht="15.75" hidden="1" customHeight="1" outlineLevel="1" x14ac:dyDescent="0.2">
      <c r="A450" s="18"/>
      <c r="B450" s="135" t="s">
        <v>132</v>
      </c>
      <c r="C450" s="136"/>
      <c r="D450" s="136">
        <f t="shared" ref="D450:AD450" si="296">SUM(D451:D454)</f>
        <v>-19946.945000000007</v>
      </c>
      <c r="E450" s="136">
        <f t="shared" si="296"/>
        <v>20716.789999999994</v>
      </c>
      <c r="F450" s="136">
        <f t="shared" si="296"/>
        <v>147425.99749999994</v>
      </c>
      <c r="G450" s="136">
        <f t="shared" si="296"/>
        <v>463783.26374999993</v>
      </c>
      <c r="H450" s="136">
        <f t="shared" si="296"/>
        <v>751301.55479999993</v>
      </c>
      <c r="I450" s="136">
        <f t="shared" si="296"/>
        <v>1353301.9033249998</v>
      </c>
      <c r="J450" s="136">
        <f t="shared" si="296"/>
        <v>1726811.6806653445</v>
      </c>
      <c r="K450" s="136">
        <f t="shared" si="296"/>
        <v>2066864.2870336312</v>
      </c>
      <c r="L450" s="136">
        <f t="shared" si="296"/>
        <v>2336297.8871386712</v>
      </c>
      <c r="M450" s="136">
        <f t="shared" si="296"/>
        <v>2623524.6805618256</v>
      </c>
      <c r="N450" s="136">
        <f t="shared" si="296"/>
        <v>2982056.2258136231</v>
      </c>
      <c r="O450" s="136">
        <f t="shared" si="296"/>
        <v>3490281.5531036025</v>
      </c>
      <c r="P450" s="136">
        <f t="shared" si="296"/>
        <v>4139980.4645565385</v>
      </c>
      <c r="Q450" s="136">
        <f t="shared" si="296"/>
        <v>4944301.8848816454</v>
      </c>
      <c r="R450" s="136">
        <f t="shared" si="296"/>
        <v>6102160.8410594873</v>
      </c>
      <c r="S450" s="136">
        <f t="shared" si="296"/>
        <v>7114318.5450506834</v>
      </c>
      <c r="T450" s="136">
        <f t="shared" si="296"/>
        <v>8469118.7451229244</v>
      </c>
      <c r="U450" s="136">
        <f t="shared" si="296"/>
        <v>9932713.869379675</v>
      </c>
      <c r="V450" s="136">
        <f t="shared" si="296"/>
        <v>11034656.606026715</v>
      </c>
      <c r="W450" s="136">
        <f t="shared" si="296"/>
        <v>12069000.527396807</v>
      </c>
      <c r="X450" s="136">
        <f t="shared" si="296"/>
        <v>12849899.865483746</v>
      </c>
      <c r="Y450" s="136">
        <f t="shared" si="296"/>
        <v>13677213.960594183</v>
      </c>
      <c r="Z450" s="136">
        <f t="shared" si="296"/>
        <v>14554343.807978228</v>
      </c>
      <c r="AA450" s="136">
        <f t="shared" si="296"/>
        <v>16128652.628054984</v>
      </c>
      <c r="AB450" s="136">
        <f t="shared" si="296"/>
        <v>17698406.727687672</v>
      </c>
      <c r="AC450" s="136">
        <f t="shared" si="296"/>
        <v>19589387.614252917</v>
      </c>
      <c r="AD450" s="136">
        <f t="shared" si="296"/>
        <v>21887261.625595879</v>
      </c>
      <c r="AE450" s="10"/>
      <c r="AF450" s="10"/>
      <c r="AG450" s="10"/>
      <c r="AH450" s="10"/>
      <c r="AI450" s="10"/>
      <c r="AJ450" s="10"/>
      <c r="AK450" s="10"/>
      <c r="AL450" s="10"/>
      <c r="AM450" s="10"/>
    </row>
    <row r="451" spans="1:39" ht="15.75" hidden="1" customHeight="1" outlineLevel="1" x14ac:dyDescent="0.2">
      <c r="A451" s="1"/>
      <c r="B451" s="188" t="s">
        <v>133</v>
      </c>
      <c r="C451" s="51"/>
      <c r="D451" s="158">
        <v>0</v>
      </c>
      <c r="E451" s="158">
        <v>0</v>
      </c>
      <c r="F451" s="158">
        <v>0</v>
      </c>
      <c r="G451" s="158">
        <v>0</v>
      </c>
      <c r="H451" s="158">
        <v>0</v>
      </c>
      <c r="I451" s="158">
        <v>0</v>
      </c>
      <c r="J451" s="158">
        <v>0</v>
      </c>
      <c r="K451" s="158">
        <v>0</v>
      </c>
      <c r="L451" s="158">
        <v>0</v>
      </c>
      <c r="M451" s="158">
        <v>0</v>
      </c>
      <c r="N451" s="158">
        <v>0</v>
      </c>
      <c r="O451" s="158">
        <v>0</v>
      </c>
      <c r="P451" s="158">
        <v>0</v>
      </c>
      <c r="Q451" s="158">
        <v>0</v>
      </c>
      <c r="R451" s="158">
        <v>0</v>
      </c>
      <c r="S451" s="158">
        <v>0</v>
      </c>
      <c r="T451" s="158">
        <v>0</v>
      </c>
      <c r="U451" s="158">
        <v>0</v>
      </c>
      <c r="V451" s="158">
        <v>0</v>
      </c>
      <c r="W451" s="158">
        <v>0</v>
      </c>
      <c r="X451" s="158">
        <v>0</v>
      </c>
      <c r="Y451" s="158">
        <v>0</v>
      </c>
      <c r="Z451" s="158">
        <v>0</v>
      </c>
      <c r="AA451" s="158">
        <v>0</v>
      </c>
      <c r="AB451" s="158">
        <v>0</v>
      </c>
      <c r="AC451" s="158">
        <v>0</v>
      </c>
      <c r="AD451" s="158">
        <v>0</v>
      </c>
      <c r="AE451" s="10"/>
      <c r="AF451" s="10"/>
      <c r="AG451" s="10"/>
      <c r="AH451" s="10"/>
      <c r="AI451" s="10"/>
      <c r="AJ451" s="10"/>
      <c r="AK451" s="10"/>
      <c r="AL451" s="10"/>
      <c r="AM451" s="10"/>
    </row>
    <row r="452" spans="1:39" ht="15.75" hidden="1" customHeight="1" outlineLevel="1" x14ac:dyDescent="0.2">
      <c r="A452" s="1"/>
      <c r="B452" s="81" t="s">
        <v>5</v>
      </c>
      <c r="C452" s="158"/>
      <c r="D452" s="51">
        <f t="shared" ref="D452:AD452" si="297">D443</f>
        <v>-63066.945000000007</v>
      </c>
      <c r="E452" s="51">
        <f t="shared" si="297"/>
        <v>-69443.210000000006</v>
      </c>
      <c r="F452" s="51">
        <f t="shared" si="297"/>
        <v>14145.997499999954</v>
      </c>
      <c r="G452" s="51">
        <f t="shared" si="297"/>
        <v>240343.26374999993</v>
      </c>
      <c r="H452" s="51">
        <f t="shared" si="297"/>
        <v>527861.55479999993</v>
      </c>
      <c r="I452" s="51">
        <f t="shared" si="297"/>
        <v>1000501.903325</v>
      </c>
      <c r="J452" s="51">
        <f t="shared" si="297"/>
        <v>1413211.6806653445</v>
      </c>
      <c r="K452" s="51">
        <f t="shared" si="297"/>
        <v>1800304.2870336312</v>
      </c>
      <c r="L452" s="51">
        <f t="shared" si="297"/>
        <v>2112857.8871386712</v>
      </c>
      <c r="M452" s="51">
        <f t="shared" si="297"/>
        <v>2400084.6805618256</v>
      </c>
      <c r="N452" s="51">
        <f t="shared" si="297"/>
        <v>2715496.2258136231</v>
      </c>
      <c r="O452" s="51">
        <f t="shared" si="297"/>
        <v>3137481.5531036025</v>
      </c>
      <c r="P452" s="51">
        <f t="shared" si="297"/>
        <v>3697020.4645565385</v>
      </c>
      <c r="Q452" s="51">
        <f t="shared" si="297"/>
        <v>4411181.8848816454</v>
      </c>
      <c r="R452" s="51">
        <f t="shared" si="297"/>
        <v>5392640.8410594873</v>
      </c>
      <c r="S452" s="51">
        <f t="shared" si="297"/>
        <v>6447918.5450506834</v>
      </c>
      <c r="T452" s="51">
        <f t="shared" si="297"/>
        <v>7669438.7451229235</v>
      </c>
      <c r="U452" s="51">
        <f t="shared" si="297"/>
        <v>9042873.869379675</v>
      </c>
      <c r="V452" s="51">
        <f t="shared" si="297"/>
        <v>10325136.606026715</v>
      </c>
      <c r="W452" s="51">
        <f t="shared" si="297"/>
        <v>11449640.527396807</v>
      </c>
      <c r="X452" s="51">
        <f t="shared" si="297"/>
        <v>12359899.865483746</v>
      </c>
      <c r="Y452" s="51">
        <f t="shared" si="297"/>
        <v>13187213.960594183</v>
      </c>
      <c r="Z452" s="51">
        <f t="shared" si="297"/>
        <v>14021223.807978228</v>
      </c>
      <c r="AA452" s="51">
        <f t="shared" si="297"/>
        <v>15238812.628054984</v>
      </c>
      <c r="AB452" s="51">
        <f t="shared" si="297"/>
        <v>16722326.727687672</v>
      </c>
      <c r="AC452" s="51">
        <f t="shared" si="297"/>
        <v>18480027.614252917</v>
      </c>
      <c r="AD452" s="51">
        <f t="shared" si="297"/>
        <v>20554461.625595879</v>
      </c>
      <c r="AE452" s="10"/>
      <c r="AF452" s="10"/>
      <c r="AG452" s="10"/>
      <c r="AH452" s="10"/>
      <c r="AI452" s="10"/>
      <c r="AJ452" s="10"/>
      <c r="AK452" s="10"/>
      <c r="AL452" s="10"/>
      <c r="AM452" s="10"/>
    </row>
    <row r="453" spans="1:39" ht="15.75" hidden="1" customHeight="1" outlineLevel="1" x14ac:dyDescent="0.2">
      <c r="A453" s="1"/>
      <c r="B453" s="81" t="s">
        <v>108</v>
      </c>
      <c r="C453" s="158"/>
      <c r="D453" s="51">
        <f t="shared" ref="D453:AE453" si="298">D420</f>
        <v>43120</v>
      </c>
      <c r="E453" s="51">
        <f t="shared" si="298"/>
        <v>90160</v>
      </c>
      <c r="F453" s="51">
        <f t="shared" si="298"/>
        <v>133280</v>
      </c>
      <c r="G453" s="51">
        <f t="shared" si="298"/>
        <v>223440</v>
      </c>
      <c r="H453" s="51">
        <f t="shared" si="298"/>
        <v>223440</v>
      </c>
      <c r="I453" s="51">
        <f t="shared" si="298"/>
        <v>352800</v>
      </c>
      <c r="J453" s="51">
        <f t="shared" si="298"/>
        <v>313600</v>
      </c>
      <c r="K453" s="51">
        <f t="shared" si="298"/>
        <v>266560</v>
      </c>
      <c r="L453" s="51">
        <f t="shared" si="298"/>
        <v>223440</v>
      </c>
      <c r="M453" s="51">
        <f t="shared" si="298"/>
        <v>223440</v>
      </c>
      <c r="N453" s="51">
        <f t="shared" si="298"/>
        <v>266560</v>
      </c>
      <c r="O453" s="51">
        <f t="shared" si="298"/>
        <v>352800</v>
      </c>
      <c r="P453" s="51">
        <f t="shared" si="298"/>
        <v>442960</v>
      </c>
      <c r="Q453" s="51">
        <f t="shared" si="298"/>
        <v>533120</v>
      </c>
      <c r="R453" s="51">
        <f t="shared" si="298"/>
        <v>709520</v>
      </c>
      <c r="S453" s="51">
        <f t="shared" si="298"/>
        <v>666400</v>
      </c>
      <c r="T453" s="51">
        <f t="shared" si="298"/>
        <v>799680</v>
      </c>
      <c r="U453" s="51">
        <f t="shared" si="298"/>
        <v>889840</v>
      </c>
      <c r="V453" s="51">
        <f t="shared" si="298"/>
        <v>709520</v>
      </c>
      <c r="W453" s="51">
        <f t="shared" si="298"/>
        <v>619360</v>
      </c>
      <c r="X453" s="51">
        <f t="shared" si="298"/>
        <v>490000</v>
      </c>
      <c r="Y453" s="51">
        <f t="shared" si="298"/>
        <v>490000</v>
      </c>
      <c r="Z453" s="51">
        <f t="shared" si="298"/>
        <v>533120</v>
      </c>
      <c r="AA453" s="51">
        <f t="shared" si="298"/>
        <v>889840</v>
      </c>
      <c r="AB453" s="51">
        <f t="shared" si="298"/>
        <v>976080</v>
      </c>
      <c r="AC453" s="51">
        <f t="shared" si="298"/>
        <v>1109360</v>
      </c>
      <c r="AD453" s="51">
        <f t="shared" si="298"/>
        <v>1332800</v>
      </c>
      <c r="AE453" s="51">
        <f t="shared" si="298"/>
        <v>0</v>
      </c>
      <c r="AF453" s="10"/>
      <c r="AG453" s="10"/>
      <c r="AH453" s="10"/>
      <c r="AI453" s="10"/>
      <c r="AJ453" s="10"/>
      <c r="AK453" s="10"/>
      <c r="AL453" s="10"/>
      <c r="AM453" s="10"/>
    </row>
    <row r="454" spans="1:39" ht="15.75" hidden="1" customHeight="1" outlineLevel="1" x14ac:dyDescent="0.2">
      <c r="A454" s="1"/>
      <c r="B454" s="188" t="s">
        <v>134</v>
      </c>
      <c r="C454" s="51"/>
      <c r="D454" s="158">
        <f t="shared" ref="D454:AD454" si="299">D426</f>
        <v>0</v>
      </c>
      <c r="E454" s="158">
        <f t="shared" si="299"/>
        <v>0</v>
      </c>
      <c r="F454" s="158">
        <f t="shared" si="299"/>
        <v>0</v>
      </c>
      <c r="G454" s="158">
        <f t="shared" si="299"/>
        <v>0</v>
      </c>
      <c r="H454" s="158">
        <f t="shared" si="299"/>
        <v>0</v>
      </c>
      <c r="I454" s="158">
        <f t="shared" si="299"/>
        <v>0</v>
      </c>
      <c r="J454" s="158">
        <f t="shared" si="299"/>
        <v>0</v>
      </c>
      <c r="K454" s="158">
        <f t="shared" si="299"/>
        <v>0</v>
      </c>
      <c r="L454" s="158">
        <f t="shared" si="299"/>
        <v>0</v>
      </c>
      <c r="M454" s="158">
        <f t="shared" si="299"/>
        <v>0</v>
      </c>
      <c r="N454" s="158">
        <f t="shared" si="299"/>
        <v>0</v>
      </c>
      <c r="O454" s="158">
        <f t="shared" si="299"/>
        <v>0</v>
      </c>
      <c r="P454" s="158">
        <f t="shared" si="299"/>
        <v>0</v>
      </c>
      <c r="Q454" s="158">
        <f t="shared" si="299"/>
        <v>0</v>
      </c>
      <c r="R454" s="158">
        <f t="shared" si="299"/>
        <v>0</v>
      </c>
      <c r="S454" s="158">
        <f t="shared" si="299"/>
        <v>0</v>
      </c>
      <c r="T454" s="158">
        <f t="shared" si="299"/>
        <v>0</v>
      </c>
      <c r="U454" s="158">
        <f t="shared" si="299"/>
        <v>0</v>
      </c>
      <c r="V454" s="158">
        <f t="shared" si="299"/>
        <v>0</v>
      </c>
      <c r="W454" s="158">
        <f t="shared" si="299"/>
        <v>0</v>
      </c>
      <c r="X454" s="158">
        <f t="shared" si="299"/>
        <v>0</v>
      </c>
      <c r="Y454" s="158">
        <f t="shared" si="299"/>
        <v>0</v>
      </c>
      <c r="Z454" s="158">
        <f t="shared" si="299"/>
        <v>0</v>
      </c>
      <c r="AA454" s="158">
        <f t="shared" si="299"/>
        <v>0</v>
      </c>
      <c r="AB454" s="158">
        <f t="shared" si="299"/>
        <v>0</v>
      </c>
      <c r="AC454" s="158">
        <f t="shared" si="299"/>
        <v>0</v>
      </c>
      <c r="AD454" s="158">
        <f t="shared" si="299"/>
        <v>0</v>
      </c>
      <c r="AE454" s="10"/>
      <c r="AF454" s="10"/>
      <c r="AG454" s="10"/>
      <c r="AH454" s="10"/>
      <c r="AI454" s="10"/>
      <c r="AJ454" s="10"/>
      <c r="AK454" s="10"/>
      <c r="AL454" s="10"/>
      <c r="AM454" s="10"/>
    </row>
    <row r="455" spans="1:39" ht="15.75" hidden="1" customHeight="1" outlineLevel="1" x14ac:dyDescent="0.2">
      <c r="A455" s="1"/>
      <c r="B455" s="81"/>
      <c r="C455" s="22"/>
      <c r="D455" s="22"/>
      <c r="E455" s="22"/>
      <c r="F455" s="22"/>
      <c r="G455" s="22"/>
      <c r="H455" s="22"/>
      <c r="I455" s="22"/>
      <c r="J455" s="22"/>
      <c r="K455" s="22"/>
      <c r="L455" s="22"/>
      <c r="M455" s="22"/>
      <c r="N455" s="22"/>
      <c r="O455" s="22"/>
      <c r="P455" s="22"/>
      <c r="Q455" s="22"/>
      <c r="R455" s="22"/>
      <c r="S455" s="22"/>
      <c r="T455" s="22"/>
      <c r="U455" s="22"/>
      <c r="V455" s="22"/>
      <c r="W455" s="22"/>
      <c r="X455" s="22"/>
      <c r="Y455" s="22"/>
      <c r="Z455" s="22"/>
      <c r="AA455" s="22"/>
      <c r="AB455" s="22"/>
      <c r="AC455" s="22"/>
      <c r="AD455" s="22"/>
      <c r="AE455" s="10"/>
      <c r="AF455" s="10"/>
      <c r="AG455" s="10"/>
      <c r="AH455" s="10"/>
      <c r="AI455" s="10"/>
      <c r="AJ455" s="10"/>
      <c r="AK455" s="10"/>
      <c r="AL455" s="10"/>
      <c r="AM455" s="10"/>
    </row>
    <row r="456" spans="1:39" ht="15.75" hidden="1" customHeight="1" outlineLevel="1" x14ac:dyDescent="0.2">
      <c r="A456" s="18"/>
      <c r="B456" s="135" t="s">
        <v>135</v>
      </c>
      <c r="C456" s="136"/>
      <c r="D456" s="136">
        <f t="shared" ref="D456:AD456" si="300">D458+D463</f>
        <v>1496073.0549999999</v>
      </c>
      <c r="E456" s="136">
        <f t="shared" si="300"/>
        <v>1536736.79</v>
      </c>
      <c r="F456" s="136">
        <f t="shared" si="300"/>
        <v>1663445.9975000001</v>
      </c>
      <c r="G456" s="136">
        <f t="shared" si="300"/>
        <v>1979803.2637499999</v>
      </c>
      <c r="H456" s="136">
        <f t="shared" si="300"/>
        <v>2267321.5548</v>
      </c>
      <c r="I456" s="136">
        <f t="shared" si="300"/>
        <v>2869321.9033249998</v>
      </c>
      <c r="J456" s="136">
        <f t="shared" si="300"/>
        <v>3242831.680665344</v>
      </c>
      <c r="K456" s="136">
        <f t="shared" si="300"/>
        <v>3582884.287033631</v>
      </c>
      <c r="L456" s="136">
        <f t="shared" si="300"/>
        <v>3852317.8871386708</v>
      </c>
      <c r="M456" s="136">
        <f t="shared" si="300"/>
        <v>4139544.6805618252</v>
      </c>
      <c r="N456" s="136">
        <f t="shared" si="300"/>
        <v>4498076.2258136226</v>
      </c>
      <c r="O456" s="136">
        <f t="shared" si="300"/>
        <v>5006301.5531036016</v>
      </c>
      <c r="P456" s="136">
        <f t="shared" si="300"/>
        <v>5656000.4645565376</v>
      </c>
      <c r="Q456" s="136">
        <f t="shared" si="300"/>
        <v>6460321.8848816445</v>
      </c>
      <c r="R456" s="136">
        <f t="shared" si="300"/>
        <v>7618180.8410594873</v>
      </c>
      <c r="S456" s="136">
        <f t="shared" si="300"/>
        <v>8630338.5450506825</v>
      </c>
      <c r="T456" s="136">
        <f t="shared" si="300"/>
        <v>9985138.7451229226</v>
      </c>
      <c r="U456" s="136">
        <f t="shared" si="300"/>
        <v>11448733.869379673</v>
      </c>
      <c r="V456" s="136">
        <f t="shared" si="300"/>
        <v>12550676.606026713</v>
      </c>
      <c r="W456" s="136">
        <f t="shared" si="300"/>
        <v>13585020.527396806</v>
      </c>
      <c r="X456" s="136">
        <f t="shared" si="300"/>
        <v>14365919.865483744</v>
      </c>
      <c r="Y456" s="136">
        <f t="shared" si="300"/>
        <v>15193233.960594181</v>
      </c>
      <c r="Z456" s="136">
        <f t="shared" si="300"/>
        <v>16070363.807978226</v>
      </c>
      <c r="AA456" s="136">
        <f t="shared" si="300"/>
        <v>17644672.62805498</v>
      </c>
      <c r="AB456" s="136">
        <f t="shared" si="300"/>
        <v>19214426.727687668</v>
      </c>
      <c r="AC456" s="136">
        <f t="shared" si="300"/>
        <v>21105407.614252914</v>
      </c>
      <c r="AD456" s="136">
        <f t="shared" si="300"/>
        <v>23403281.625595875</v>
      </c>
      <c r="AE456" s="10"/>
      <c r="AF456" s="10"/>
      <c r="AG456" s="10"/>
      <c r="AH456" s="10"/>
      <c r="AI456" s="10"/>
      <c r="AJ456" s="10"/>
      <c r="AK456" s="10"/>
      <c r="AL456" s="10"/>
      <c r="AM456" s="10"/>
    </row>
    <row r="457" spans="1:39" ht="15.75" hidden="1" customHeight="1" outlineLevel="1" x14ac:dyDescent="0.2">
      <c r="A457" s="1"/>
      <c r="B457" s="81"/>
      <c r="C457" s="22"/>
      <c r="D457" s="22"/>
      <c r="E457" s="22"/>
      <c r="F457" s="22"/>
      <c r="G457" s="22"/>
      <c r="H457" s="22"/>
      <c r="I457" s="22"/>
      <c r="J457" s="22"/>
      <c r="K457" s="22"/>
      <c r="L457" s="22"/>
      <c r="M457" s="22"/>
      <c r="N457" s="22"/>
      <c r="O457" s="22"/>
      <c r="P457" s="22"/>
      <c r="Q457" s="22"/>
      <c r="R457" s="22"/>
      <c r="S457" s="22"/>
      <c r="T457" s="22"/>
      <c r="U457" s="22"/>
      <c r="V457" s="22"/>
      <c r="W457" s="22"/>
      <c r="X457" s="22"/>
      <c r="Y457" s="22"/>
      <c r="Z457" s="22"/>
      <c r="AA457" s="22"/>
      <c r="AB457" s="22"/>
      <c r="AC457" s="22"/>
      <c r="AD457" s="22"/>
      <c r="AE457" s="10"/>
      <c r="AF457" s="10"/>
      <c r="AG457" s="10"/>
      <c r="AH457" s="10"/>
      <c r="AI457" s="10"/>
      <c r="AJ457" s="10"/>
      <c r="AK457" s="10"/>
      <c r="AL457" s="10"/>
      <c r="AM457" s="10"/>
    </row>
    <row r="458" spans="1:39" ht="15.75" hidden="1" customHeight="1" outlineLevel="1" x14ac:dyDescent="0.2">
      <c r="A458" s="189"/>
      <c r="B458" s="190" t="s">
        <v>136</v>
      </c>
      <c r="C458" s="191"/>
      <c r="D458" s="191">
        <f t="shared" ref="D458:AD458" si="301">SUM(D459:D461)</f>
        <v>1474513.0549999999</v>
      </c>
      <c r="E458" s="191">
        <f t="shared" si="301"/>
        <v>1491656.79</v>
      </c>
      <c r="F458" s="191">
        <f t="shared" si="301"/>
        <v>1596805.9975000001</v>
      </c>
      <c r="G458" s="191">
        <f t="shared" si="301"/>
        <v>1868083.2637499999</v>
      </c>
      <c r="H458" s="191">
        <f t="shared" si="301"/>
        <v>2155601.5548</v>
      </c>
      <c r="I458" s="191">
        <f t="shared" si="301"/>
        <v>2692921.9033249998</v>
      </c>
      <c r="J458" s="191">
        <f t="shared" si="301"/>
        <v>3086031.680665344</v>
      </c>
      <c r="K458" s="191">
        <f t="shared" si="301"/>
        <v>3449604.287033631</v>
      </c>
      <c r="L458" s="191">
        <f t="shared" si="301"/>
        <v>3740597.8871386708</v>
      </c>
      <c r="M458" s="191">
        <f t="shared" si="301"/>
        <v>4027824.6805618252</v>
      </c>
      <c r="N458" s="191">
        <f t="shared" si="301"/>
        <v>4364796.2258136226</v>
      </c>
      <c r="O458" s="191">
        <f t="shared" si="301"/>
        <v>4829901.5531036016</v>
      </c>
      <c r="P458" s="191">
        <f t="shared" si="301"/>
        <v>5434520.4645565376</v>
      </c>
      <c r="Q458" s="191">
        <f t="shared" si="301"/>
        <v>6193761.8848816445</v>
      </c>
      <c r="R458" s="191">
        <f t="shared" si="301"/>
        <v>7263420.8410594873</v>
      </c>
      <c r="S458" s="191">
        <f t="shared" si="301"/>
        <v>8297138.5450506825</v>
      </c>
      <c r="T458" s="191">
        <f t="shared" si="301"/>
        <v>9585298.7451229226</v>
      </c>
      <c r="U458" s="191">
        <f t="shared" si="301"/>
        <v>11003813.869379673</v>
      </c>
      <c r="V458" s="191">
        <f t="shared" si="301"/>
        <v>12195916.606026713</v>
      </c>
      <c r="W458" s="191">
        <f t="shared" si="301"/>
        <v>13275340.527396806</v>
      </c>
      <c r="X458" s="191">
        <f t="shared" si="301"/>
        <v>14120919.865483744</v>
      </c>
      <c r="Y458" s="191">
        <f t="shared" si="301"/>
        <v>14948233.960594181</v>
      </c>
      <c r="Z458" s="191">
        <f t="shared" si="301"/>
        <v>15803803.807978226</v>
      </c>
      <c r="AA458" s="191">
        <f t="shared" si="301"/>
        <v>17199752.62805498</v>
      </c>
      <c r="AB458" s="191">
        <f t="shared" si="301"/>
        <v>18726386.727687668</v>
      </c>
      <c r="AC458" s="191">
        <f t="shared" si="301"/>
        <v>20550727.614252914</v>
      </c>
      <c r="AD458" s="191">
        <f t="shared" si="301"/>
        <v>22736881.625595875</v>
      </c>
      <c r="AE458" s="10"/>
      <c r="AF458" s="10"/>
      <c r="AG458" s="10"/>
      <c r="AH458" s="10"/>
      <c r="AI458" s="10"/>
      <c r="AJ458" s="10"/>
      <c r="AK458" s="10"/>
      <c r="AL458" s="10"/>
      <c r="AM458" s="10"/>
    </row>
    <row r="459" spans="1:39" ht="15.75" hidden="1" customHeight="1" outlineLevel="1" x14ac:dyDescent="0.2">
      <c r="A459" s="1"/>
      <c r="B459" s="81" t="s">
        <v>137</v>
      </c>
      <c r="C459" s="51"/>
      <c r="D459" s="158">
        <v>1516020</v>
      </c>
      <c r="E459" s="158">
        <v>1516020</v>
      </c>
      <c r="F459" s="158">
        <v>1516020</v>
      </c>
      <c r="G459" s="158">
        <v>1516020</v>
      </c>
      <c r="H459" s="158">
        <v>1516020</v>
      </c>
      <c r="I459" s="158">
        <v>1516020</v>
      </c>
      <c r="J459" s="158">
        <v>1516020</v>
      </c>
      <c r="K459" s="158">
        <v>1516020</v>
      </c>
      <c r="L459" s="158">
        <v>1516020</v>
      </c>
      <c r="M459" s="158">
        <v>1516020</v>
      </c>
      <c r="N459" s="158">
        <v>1516020</v>
      </c>
      <c r="O459" s="158">
        <v>1516020</v>
      </c>
      <c r="P459" s="158">
        <v>1516020</v>
      </c>
      <c r="Q459" s="158">
        <v>1516020</v>
      </c>
      <c r="R459" s="158">
        <v>1516020</v>
      </c>
      <c r="S459" s="158">
        <v>1516020</v>
      </c>
      <c r="T459" s="158">
        <v>1516020</v>
      </c>
      <c r="U459" s="158">
        <v>1516020</v>
      </c>
      <c r="V459" s="158">
        <v>1516020</v>
      </c>
      <c r="W459" s="158">
        <v>1516020</v>
      </c>
      <c r="X459" s="158">
        <v>1516020</v>
      </c>
      <c r="Y459" s="158">
        <v>1516020</v>
      </c>
      <c r="Z459" s="158">
        <v>1516020</v>
      </c>
      <c r="AA459" s="158">
        <v>1516020</v>
      </c>
      <c r="AB459" s="158">
        <v>1516020</v>
      </c>
      <c r="AC459" s="158">
        <v>1516020</v>
      </c>
      <c r="AD459" s="158">
        <v>1516020</v>
      </c>
      <c r="AE459" s="10"/>
      <c r="AF459" s="10"/>
      <c r="AG459" s="10"/>
      <c r="AH459" s="10"/>
      <c r="AI459" s="10"/>
      <c r="AJ459" s="10"/>
      <c r="AK459" s="10"/>
      <c r="AL459" s="10"/>
      <c r="AM459" s="10"/>
    </row>
    <row r="460" spans="1:39" ht="15.75" hidden="1" customHeight="1" outlineLevel="1" x14ac:dyDescent="0.2">
      <c r="A460" s="1"/>
      <c r="B460" s="81" t="s">
        <v>138</v>
      </c>
      <c r="C460" s="22"/>
      <c r="D460" s="158">
        <f t="shared" ref="D460:AD460" si="302">D377</f>
        <v>-41506.945000000007</v>
      </c>
      <c r="E460" s="158">
        <f t="shared" si="302"/>
        <v>-24363.210000000003</v>
      </c>
      <c r="F460" s="158">
        <f t="shared" si="302"/>
        <v>80785.997499999954</v>
      </c>
      <c r="G460" s="158">
        <f t="shared" si="302"/>
        <v>352063.26374999993</v>
      </c>
      <c r="H460" s="158">
        <f t="shared" si="302"/>
        <v>639581.55479999993</v>
      </c>
      <c r="I460" s="158">
        <f t="shared" si="302"/>
        <v>1176901.9033249998</v>
      </c>
      <c r="J460" s="158">
        <f t="shared" si="302"/>
        <v>1570011.6806653442</v>
      </c>
      <c r="K460" s="158">
        <f t="shared" si="302"/>
        <v>1933584.287033631</v>
      </c>
      <c r="L460" s="158">
        <f t="shared" si="302"/>
        <v>2224577.8871386708</v>
      </c>
      <c r="M460" s="158">
        <f t="shared" si="302"/>
        <v>2511804.6805618252</v>
      </c>
      <c r="N460" s="158">
        <f t="shared" si="302"/>
        <v>2848776.2258136226</v>
      </c>
      <c r="O460" s="158">
        <f t="shared" si="302"/>
        <v>3313881.5531036016</v>
      </c>
      <c r="P460" s="158">
        <f t="shared" si="302"/>
        <v>3918500.464556538</v>
      </c>
      <c r="Q460" s="158">
        <f t="shared" si="302"/>
        <v>4677741.8848816445</v>
      </c>
      <c r="R460" s="158">
        <f t="shared" si="302"/>
        <v>5747400.8410594873</v>
      </c>
      <c r="S460" s="158">
        <f t="shared" si="302"/>
        <v>6781118.5450506825</v>
      </c>
      <c r="T460" s="158">
        <f t="shared" si="302"/>
        <v>8069278.7451229226</v>
      </c>
      <c r="U460" s="158">
        <f t="shared" si="302"/>
        <v>9487793.8693796732</v>
      </c>
      <c r="V460" s="158">
        <f t="shared" si="302"/>
        <v>10679896.606026713</v>
      </c>
      <c r="W460" s="158">
        <f t="shared" si="302"/>
        <v>11759320.527396806</v>
      </c>
      <c r="X460" s="158">
        <f t="shared" si="302"/>
        <v>12604899.865483744</v>
      </c>
      <c r="Y460" s="158">
        <f t="shared" si="302"/>
        <v>13432213.960594181</v>
      </c>
      <c r="Z460" s="158">
        <f t="shared" si="302"/>
        <v>14287783.807978226</v>
      </c>
      <c r="AA460" s="158">
        <f t="shared" si="302"/>
        <v>15683732.62805498</v>
      </c>
      <c r="AB460" s="158">
        <f t="shared" si="302"/>
        <v>17210366.727687668</v>
      </c>
      <c r="AC460" s="158">
        <f t="shared" si="302"/>
        <v>19034707.614252914</v>
      </c>
      <c r="AD460" s="158">
        <f t="shared" si="302"/>
        <v>21220861.625595875</v>
      </c>
      <c r="AE460" s="10"/>
      <c r="AF460" s="10"/>
      <c r="AG460" s="10"/>
      <c r="AH460" s="10"/>
      <c r="AI460" s="10"/>
      <c r="AJ460" s="10"/>
      <c r="AK460" s="10"/>
      <c r="AL460" s="10"/>
      <c r="AM460" s="10"/>
    </row>
    <row r="461" spans="1:39" ht="15.75" hidden="1" customHeight="1" outlineLevel="1" x14ac:dyDescent="0.2">
      <c r="A461" s="1"/>
      <c r="B461" s="81" t="s">
        <v>130</v>
      </c>
      <c r="C461" s="22"/>
      <c r="D461" s="158">
        <f t="shared" ref="D461:AD461" si="303">D445</f>
        <v>0</v>
      </c>
      <c r="E461" s="158">
        <f t="shared" si="303"/>
        <v>0</v>
      </c>
      <c r="F461" s="158">
        <f t="shared" si="303"/>
        <v>0</v>
      </c>
      <c r="G461" s="158">
        <f t="shared" si="303"/>
        <v>0</v>
      </c>
      <c r="H461" s="158">
        <f t="shared" si="303"/>
        <v>0</v>
      </c>
      <c r="I461" s="158">
        <f t="shared" si="303"/>
        <v>0</v>
      </c>
      <c r="J461" s="158">
        <f t="shared" si="303"/>
        <v>0</v>
      </c>
      <c r="K461" s="158">
        <f t="shared" si="303"/>
        <v>0</v>
      </c>
      <c r="L461" s="158">
        <f t="shared" si="303"/>
        <v>0</v>
      </c>
      <c r="M461" s="158">
        <f t="shared" si="303"/>
        <v>0</v>
      </c>
      <c r="N461" s="158">
        <f t="shared" si="303"/>
        <v>0</v>
      </c>
      <c r="O461" s="158">
        <f t="shared" si="303"/>
        <v>0</v>
      </c>
      <c r="P461" s="158">
        <f t="shared" si="303"/>
        <v>0</v>
      </c>
      <c r="Q461" s="158">
        <f t="shared" si="303"/>
        <v>0</v>
      </c>
      <c r="R461" s="158">
        <f t="shared" si="303"/>
        <v>0</v>
      </c>
      <c r="S461" s="158">
        <f t="shared" si="303"/>
        <v>0</v>
      </c>
      <c r="T461" s="158">
        <f t="shared" si="303"/>
        <v>0</v>
      </c>
      <c r="U461" s="158">
        <f t="shared" si="303"/>
        <v>0</v>
      </c>
      <c r="V461" s="158">
        <f t="shared" si="303"/>
        <v>0</v>
      </c>
      <c r="W461" s="158">
        <f t="shared" si="303"/>
        <v>0</v>
      </c>
      <c r="X461" s="158">
        <f t="shared" si="303"/>
        <v>0</v>
      </c>
      <c r="Y461" s="158">
        <f t="shared" si="303"/>
        <v>0</v>
      </c>
      <c r="Z461" s="158">
        <f t="shared" si="303"/>
        <v>0</v>
      </c>
      <c r="AA461" s="158">
        <f t="shared" si="303"/>
        <v>0</v>
      </c>
      <c r="AB461" s="158">
        <f t="shared" si="303"/>
        <v>0</v>
      </c>
      <c r="AC461" s="158">
        <f t="shared" si="303"/>
        <v>0</v>
      </c>
      <c r="AD461" s="158">
        <f t="shared" si="303"/>
        <v>0</v>
      </c>
      <c r="AE461" s="10"/>
      <c r="AF461" s="10"/>
      <c r="AG461" s="10"/>
      <c r="AH461" s="10"/>
      <c r="AI461" s="10"/>
      <c r="AJ461" s="10"/>
      <c r="AK461" s="10"/>
      <c r="AL461" s="10"/>
      <c r="AM461" s="10"/>
    </row>
    <row r="462" spans="1:39" ht="15.75" hidden="1" customHeight="1" outlineLevel="1" x14ac:dyDescent="0.2">
      <c r="A462" s="1"/>
      <c r="B462" s="81"/>
      <c r="C462" s="22"/>
      <c r="D462" s="22"/>
      <c r="E462" s="22"/>
      <c r="F462" s="22"/>
      <c r="G462" s="22"/>
      <c r="H462" s="22"/>
      <c r="I462" s="22"/>
      <c r="J462" s="22"/>
      <c r="K462" s="22"/>
      <c r="L462" s="22"/>
      <c r="M462" s="22"/>
      <c r="N462" s="22"/>
      <c r="O462" s="22"/>
      <c r="P462" s="22"/>
      <c r="Q462" s="22"/>
      <c r="R462" s="22"/>
      <c r="S462" s="22"/>
      <c r="T462" s="22"/>
      <c r="U462" s="22"/>
      <c r="V462" s="22"/>
      <c r="W462" s="22"/>
      <c r="X462" s="22"/>
      <c r="Y462" s="22"/>
      <c r="Z462" s="22"/>
      <c r="AA462" s="22"/>
      <c r="AB462" s="22"/>
      <c r="AC462" s="22"/>
      <c r="AD462" s="22"/>
      <c r="AE462" s="10"/>
      <c r="AF462" s="10"/>
      <c r="AG462" s="10"/>
      <c r="AH462" s="10"/>
      <c r="AI462" s="10"/>
      <c r="AJ462" s="10"/>
      <c r="AK462" s="10"/>
      <c r="AL462" s="10"/>
      <c r="AM462" s="10"/>
    </row>
    <row r="463" spans="1:39" ht="15.75" hidden="1" customHeight="1" outlineLevel="1" x14ac:dyDescent="0.2">
      <c r="A463" s="189"/>
      <c r="B463" s="190" t="s">
        <v>139</v>
      </c>
      <c r="C463" s="191"/>
      <c r="D463" s="191">
        <f t="shared" ref="D463:AD463" si="304">SUM(D464:D465)</f>
        <v>21560</v>
      </c>
      <c r="E463" s="191">
        <f t="shared" si="304"/>
        <v>45080</v>
      </c>
      <c r="F463" s="191">
        <f t="shared" si="304"/>
        <v>66640</v>
      </c>
      <c r="G463" s="191">
        <f t="shared" si="304"/>
        <v>111720</v>
      </c>
      <c r="H463" s="191">
        <f t="shared" si="304"/>
        <v>111720</v>
      </c>
      <c r="I463" s="191">
        <f t="shared" si="304"/>
        <v>176400</v>
      </c>
      <c r="J463" s="191">
        <f t="shared" si="304"/>
        <v>156800</v>
      </c>
      <c r="K463" s="191">
        <f t="shared" si="304"/>
        <v>133280</v>
      </c>
      <c r="L463" s="191">
        <f t="shared" si="304"/>
        <v>111720</v>
      </c>
      <c r="M463" s="191">
        <f t="shared" si="304"/>
        <v>111720</v>
      </c>
      <c r="N463" s="191">
        <f t="shared" si="304"/>
        <v>133280</v>
      </c>
      <c r="O463" s="191">
        <f t="shared" si="304"/>
        <v>176400</v>
      </c>
      <c r="P463" s="191">
        <f t="shared" si="304"/>
        <v>221480</v>
      </c>
      <c r="Q463" s="191">
        <f t="shared" si="304"/>
        <v>266560</v>
      </c>
      <c r="R463" s="191">
        <f t="shared" si="304"/>
        <v>354760</v>
      </c>
      <c r="S463" s="191">
        <f t="shared" si="304"/>
        <v>333200</v>
      </c>
      <c r="T463" s="191">
        <f t="shared" si="304"/>
        <v>399840</v>
      </c>
      <c r="U463" s="191">
        <f t="shared" si="304"/>
        <v>444920</v>
      </c>
      <c r="V463" s="191">
        <f t="shared" si="304"/>
        <v>354760</v>
      </c>
      <c r="W463" s="191">
        <f t="shared" si="304"/>
        <v>309680</v>
      </c>
      <c r="X463" s="191">
        <f t="shared" si="304"/>
        <v>245000</v>
      </c>
      <c r="Y463" s="191">
        <f t="shared" si="304"/>
        <v>245000</v>
      </c>
      <c r="Z463" s="191">
        <f t="shared" si="304"/>
        <v>266560</v>
      </c>
      <c r="AA463" s="191">
        <f t="shared" si="304"/>
        <v>444920</v>
      </c>
      <c r="AB463" s="191">
        <f t="shared" si="304"/>
        <v>488040</v>
      </c>
      <c r="AC463" s="191">
        <f t="shared" si="304"/>
        <v>554680</v>
      </c>
      <c r="AD463" s="191">
        <f t="shared" si="304"/>
        <v>666400</v>
      </c>
      <c r="AE463" s="10"/>
      <c r="AF463" s="10"/>
      <c r="AG463" s="10"/>
      <c r="AH463" s="10"/>
      <c r="AI463" s="10"/>
      <c r="AJ463" s="10"/>
      <c r="AK463" s="10"/>
      <c r="AL463" s="10"/>
      <c r="AM463" s="10"/>
    </row>
    <row r="464" spans="1:39" ht="15.75" hidden="1" customHeight="1" outlineLevel="1" x14ac:dyDescent="0.2">
      <c r="A464" s="1"/>
      <c r="B464" s="81" t="s">
        <v>140</v>
      </c>
      <c r="C464" s="51"/>
      <c r="D464" s="158">
        <f t="shared" ref="D464:AD464" si="305">D381+D387+D393</f>
        <v>0</v>
      </c>
      <c r="E464" s="158">
        <f t="shared" si="305"/>
        <v>0</v>
      </c>
      <c r="F464" s="158">
        <f t="shared" si="305"/>
        <v>0</v>
      </c>
      <c r="G464" s="158">
        <f t="shared" si="305"/>
        <v>0</v>
      </c>
      <c r="H464" s="158">
        <f t="shared" si="305"/>
        <v>0</v>
      </c>
      <c r="I464" s="158">
        <f t="shared" si="305"/>
        <v>0</v>
      </c>
      <c r="J464" s="158">
        <f t="shared" si="305"/>
        <v>0</v>
      </c>
      <c r="K464" s="158">
        <f t="shared" si="305"/>
        <v>0</v>
      </c>
      <c r="L464" s="158">
        <f t="shared" si="305"/>
        <v>0</v>
      </c>
      <c r="M464" s="158">
        <f t="shared" si="305"/>
        <v>0</v>
      </c>
      <c r="N464" s="158">
        <f t="shared" si="305"/>
        <v>0</v>
      </c>
      <c r="O464" s="158">
        <f t="shared" si="305"/>
        <v>0</v>
      </c>
      <c r="P464" s="158">
        <f t="shared" si="305"/>
        <v>0</v>
      </c>
      <c r="Q464" s="158">
        <f t="shared" si="305"/>
        <v>0</v>
      </c>
      <c r="R464" s="158">
        <f t="shared" si="305"/>
        <v>0</v>
      </c>
      <c r="S464" s="158">
        <f t="shared" si="305"/>
        <v>0</v>
      </c>
      <c r="T464" s="158">
        <f t="shared" si="305"/>
        <v>0</v>
      </c>
      <c r="U464" s="158">
        <f t="shared" si="305"/>
        <v>0</v>
      </c>
      <c r="V464" s="158">
        <f t="shared" si="305"/>
        <v>0</v>
      </c>
      <c r="W464" s="158">
        <f t="shared" si="305"/>
        <v>0</v>
      </c>
      <c r="X464" s="158">
        <f t="shared" si="305"/>
        <v>0</v>
      </c>
      <c r="Y464" s="158">
        <f t="shared" si="305"/>
        <v>0</v>
      </c>
      <c r="Z464" s="158">
        <f t="shared" si="305"/>
        <v>0</v>
      </c>
      <c r="AA464" s="158">
        <f t="shared" si="305"/>
        <v>0</v>
      </c>
      <c r="AB464" s="158">
        <f t="shared" si="305"/>
        <v>0</v>
      </c>
      <c r="AC464" s="158">
        <f t="shared" si="305"/>
        <v>0</v>
      </c>
      <c r="AD464" s="158">
        <f t="shared" si="305"/>
        <v>0</v>
      </c>
      <c r="AE464" s="10"/>
      <c r="AF464" s="10"/>
      <c r="AG464" s="10"/>
      <c r="AH464" s="10"/>
      <c r="AI464" s="10"/>
      <c r="AJ464" s="10"/>
      <c r="AK464" s="10"/>
      <c r="AL464" s="10"/>
      <c r="AM464" s="10"/>
    </row>
    <row r="465" spans="1:39" ht="15.75" hidden="1" customHeight="1" outlineLevel="1" x14ac:dyDescent="0.2">
      <c r="A465" s="1"/>
      <c r="B465" s="81" t="s">
        <v>118</v>
      </c>
      <c r="C465" s="51"/>
      <c r="D465" s="158">
        <f t="shared" ref="D465:AD465" si="306">D432</f>
        <v>21560</v>
      </c>
      <c r="E465" s="158">
        <f t="shared" si="306"/>
        <v>45080</v>
      </c>
      <c r="F465" s="158">
        <f t="shared" si="306"/>
        <v>66640</v>
      </c>
      <c r="G465" s="158">
        <f t="shared" si="306"/>
        <v>111720</v>
      </c>
      <c r="H465" s="158">
        <f t="shared" si="306"/>
        <v>111720</v>
      </c>
      <c r="I465" s="158">
        <f t="shared" si="306"/>
        <v>176400</v>
      </c>
      <c r="J465" s="158">
        <f t="shared" si="306"/>
        <v>156800</v>
      </c>
      <c r="K465" s="158">
        <f t="shared" si="306"/>
        <v>133280</v>
      </c>
      <c r="L465" s="158">
        <f t="shared" si="306"/>
        <v>111720</v>
      </c>
      <c r="M465" s="158">
        <f t="shared" si="306"/>
        <v>111720</v>
      </c>
      <c r="N465" s="158">
        <f t="shared" si="306"/>
        <v>133280</v>
      </c>
      <c r="O465" s="158">
        <f t="shared" si="306"/>
        <v>176400</v>
      </c>
      <c r="P465" s="158">
        <f t="shared" si="306"/>
        <v>221480</v>
      </c>
      <c r="Q465" s="158">
        <f t="shared" si="306"/>
        <v>266560</v>
      </c>
      <c r="R465" s="158">
        <f t="shared" si="306"/>
        <v>354760</v>
      </c>
      <c r="S465" s="158">
        <f t="shared" si="306"/>
        <v>333200</v>
      </c>
      <c r="T465" s="158">
        <f t="shared" si="306"/>
        <v>399840</v>
      </c>
      <c r="U465" s="158">
        <f t="shared" si="306"/>
        <v>444920</v>
      </c>
      <c r="V465" s="158">
        <f t="shared" si="306"/>
        <v>354760</v>
      </c>
      <c r="W465" s="158">
        <f t="shared" si="306"/>
        <v>309680</v>
      </c>
      <c r="X465" s="158">
        <f t="shared" si="306"/>
        <v>245000</v>
      </c>
      <c r="Y465" s="158">
        <f t="shared" si="306"/>
        <v>245000</v>
      </c>
      <c r="Z465" s="158">
        <f t="shared" si="306"/>
        <v>266560</v>
      </c>
      <c r="AA465" s="158">
        <f t="shared" si="306"/>
        <v>444920</v>
      </c>
      <c r="AB465" s="158">
        <f t="shared" si="306"/>
        <v>488040</v>
      </c>
      <c r="AC465" s="158">
        <f t="shared" si="306"/>
        <v>554680</v>
      </c>
      <c r="AD465" s="158">
        <f t="shared" si="306"/>
        <v>666400</v>
      </c>
      <c r="AE465" s="10"/>
      <c r="AF465" s="10"/>
      <c r="AG465" s="10"/>
      <c r="AH465" s="10"/>
      <c r="AI465" s="10"/>
      <c r="AJ465" s="10"/>
      <c r="AK465" s="10"/>
      <c r="AL465" s="10"/>
      <c r="AM465" s="10"/>
    </row>
    <row r="466" spans="1:39" ht="15.75" hidden="1" customHeight="1" x14ac:dyDescent="0.2">
      <c r="A466" s="1"/>
      <c r="B466" s="24"/>
      <c r="C466" s="22"/>
      <c r="D466" s="22"/>
      <c r="E466" s="22"/>
      <c r="F466" s="22"/>
      <c r="G466" s="22"/>
      <c r="H466" s="22"/>
      <c r="I466" s="22"/>
      <c r="J466" s="22"/>
      <c r="K466" s="22"/>
      <c r="L466" s="22"/>
      <c r="M466" s="22"/>
      <c r="N466" s="22"/>
      <c r="O466" s="22"/>
      <c r="P466" s="22"/>
      <c r="Q466" s="22"/>
      <c r="R466" s="22"/>
      <c r="S466" s="22"/>
      <c r="T466" s="22"/>
      <c r="U466" s="22"/>
      <c r="V466" s="22"/>
      <c r="W466" s="22"/>
      <c r="X466" s="22"/>
      <c r="Y466" s="22"/>
      <c r="Z466" s="22"/>
      <c r="AA466" s="22"/>
      <c r="AB466" s="22"/>
      <c r="AC466" s="192"/>
      <c r="AD466" s="9"/>
      <c r="AE466" s="10"/>
      <c r="AF466" s="10"/>
      <c r="AG466" s="10"/>
      <c r="AH466" s="10"/>
      <c r="AI466" s="10"/>
      <c r="AJ466" s="10"/>
      <c r="AK466" s="10"/>
      <c r="AL466" s="10"/>
      <c r="AM466" s="10"/>
    </row>
    <row r="467" spans="1:39" ht="15.75" hidden="1" customHeight="1" x14ac:dyDescent="0.25">
      <c r="A467" s="9"/>
      <c r="B467" s="193" t="s">
        <v>141</v>
      </c>
      <c r="C467" s="194" t="s">
        <v>142</v>
      </c>
      <c r="D467" s="195"/>
      <c r="E467" s="195">
        <v>1</v>
      </c>
      <c r="F467" s="195">
        <v>2</v>
      </c>
      <c r="G467" s="195">
        <v>3</v>
      </c>
      <c r="H467" s="195">
        <v>4</v>
      </c>
      <c r="I467" s="195">
        <v>5</v>
      </c>
      <c r="J467" s="195">
        <v>6</v>
      </c>
      <c r="K467" s="195">
        <v>7</v>
      </c>
      <c r="L467" s="195">
        <v>8</v>
      </c>
      <c r="M467" s="195">
        <v>9</v>
      </c>
      <c r="N467" s="195">
        <v>10</v>
      </c>
      <c r="O467" s="195">
        <v>11</v>
      </c>
      <c r="P467" s="195">
        <v>12</v>
      </c>
      <c r="Q467" s="195"/>
      <c r="R467" s="195"/>
      <c r="S467" s="195"/>
      <c r="T467" s="195"/>
      <c r="U467" s="195"/>
      <c r="V467" s="195"/>
      <c r="W467" s="195"/>
      <c r="X467" s="195"/>
      <c r="Y467" s="195"/>
      <c r="Z467" s="195"/>
      <c r="AA467" s="195"/>
      <c r="AB467" s="195"/>
      <c r="AC467" s="196"/>
      <c r="AD467" s="9"/>
      <c r="AE467" s="10"/>
      <c r="AF467" s="10"/>
      <c r="AG467" s="10"/>
      <c r="AH467" s="10"/>
      <c r="AI467" s="10"/>
      <c r="AJ467" s="10"/>
      <c r="AK467" s="10"/>
      <c r="AL467" s="10"/>
      <c r="AM467" s="10"/>
    </row>
    <row r="468" spans="1:39" ht="15.75" hidden="1" customHeight="1" x14ac:dyDescent="0.2">
      <c r="A468" s="9"/>
      <c r="B468" s="197" t="s">
        <v>143</v>
      </c>
      <c r="C468" s="198">
        <v>1.5</v>
      </c>
      <c r="D468" s="199"/>
      <c r="E468" s="199">
        <f>(E454+E453+E452)/(E464+E465)</f>
        <v>0.45955612244897948</v>
      </c>
      <c r="F468" s="199"/>
      <c r="G468" s="199"/>
      <c r="H468" s="199"/>
      <c r="I468" s="199"/>
      <c r="J468" s="199"/>
      <c r="K468" s="199"/>
      <c r="L468" s="199"/>
      <c r="M468" s="199"/>
      <c r="N468" s="199"/>
      <c r="O468" s="199"/>
      <c r="P468" s="199"/>
      <c r="Q468" s="199"/>
      <c r="R468" s="199"/>
      <c r="S468" s="199"/>
      <c r="T468" s="199"/>
      <c r="U468" s="199"/>
      <c r="V468" s="199"/>
      <c r="W468" s="199"/>
      <c r="X468" s="199"/>
      <c r="Y468" s="199"/>
      <c r="Z468" s="199"/>
      <c r="AA468" s="199"/>
      <c r="AB468" s="199"/>
      <c r="AC468" s="9"/>
      <c r="AD468" s="9"/>
      <c r="AE468" s="10"/>
      <c r="AF468" s="10"/>
      <c r="AG468" s="10"/>
      <c r="AH468" s="10"/>
      <c r="AI468" s="10"/>
      <c r="AJ468" s="10"/>
      <c r="AK468" s="10"/>
      <c r="AL468" s="10"/>
      <c r="AM468" s="10"/>
    </row>
    <row r="469" spans="1:39" ht="15.75" hidden="1" customHeight="1" x14ac:dyDescent="0.2">
      <c r="A469" s="9"/>
      <c r="B469" s="197" t="s">
        <v>144</v>
      </c>
      <c r="C469" s="198">
        <v>0.2</v>
      </c>
      <c r="D469" s="199"/>
      <c r="E469" s="199">
        <f>(E452)/(E464+E465)</f>
        <v>-1.5404438775510205</v>
      </c>
      <c r="F469" s="199"/>
      <c r="G469" s="199"/>
      <c r="H469" s="199"/>
      <c r="I469" s="199"/>
      <c r="J469" s="199"/>
      <c r="K469" s="199"/>
      <c r="L469" s="199"/>
      <c r="M469" s="199"/>
      <c r="N469" s="199"/>
      <c r="O469" s="199"/>
      <c r="P469" s="199"/>
      <c r="Q469" s="199"/>
      <c r="R469" s="199"/>
      <c r="S469" s="199"/>
      <c r="T469" s="199"/>
      <c r="U469" s="199"/>
      <c r="V469" s="199"/>
      <c r="W469" s="199"/>
      <c r="X469" s="199"/>
      <c r="Y469" s="199"/>
      <c r="Z469" s="199"/>
      <c r="AA469" s="199"/>
      <c r="AB469" s="199"/>
      <c r="AC469" s="9"/>
      <c r="AD469" s="9"/>
      <c r="AE469" s="10"/>
      <c r="AF469" s="10"/>
      <c r="AG469" s="10"/>
      <c r="AH469" s="10"/>
      <c r="AI469" s="10"/>
      <c r="AJ469" s="10"/>
      <c r="AK469" s="10"/>
      <c r="AL469" s="10"/>
      <c r="AM469" s="10"/>
    </row>
    <row r="470" spans="1:39" ht="15.75" hidden="1" customHeight="1" x14ac:dyDescent="0.2">
      <c r="A470" s="9"/>
      <c r="B470" s="197" t="s">
        <v>145</v>
      </c>
      <c r="C470" s="198">
        <v>0.6</v>
      </c>
      <c r="D470" s="199"/>
      <c r="E470" s="199">
        <f>E458/E450</f>
        <v>72.002312616964332</v>
      </c>
      <c r="F470" s="199"/>
      <c r="G470" s="199"/>
      <c r="H470" s="199"/>
      <c r="I470" s="199"/>
      <c r="J470" s="199"/>
      <c r="K470" s="199"/>
      <c r="L470" s="199"/>
      <c r="M470" s="199"/>
      <c r="N470" s="199"/>
      <c r="O470" s="199"/>
      <c r="P470" s="199"/>
      <c r="Q470" s="199"/>
      <c r="R470" s="199"/>
      <c r="S470" s="199"/>
      <c r="T470" s="199"/>
      <c r="U470" s="199"/>
      <c r="V470" s="199"/>
      <c r="W470" s="199"/>
      <c r="X470" s="199"/>
      <c r="Y470" s="199"/>
      <c r="Z470" s="199"/>
      <c r="AA470" s="199"/>
      <c r="AB470" s="199"/>
      <c r="AC470" s="9"/>
      <c r="AD470" s="9"/>
      <c r="AE470" s="10"/>
      <c r="AF470" s="10"/>
      <c r="AG470" s="10"/>
      <c r="AH470" s="10"/>
      <c r="AI470" s="10"/>
      <c r="AJ470" s="10"/>
      <c r="AK470" s="10"/>
      <c r="AL470" s="10"/>
      <c r="AM470" s="10"/>
    </row>
    <row r="471" spans="1:39" ht="15.75" hidden="1" customHeight="1" x14ac:dyDescent="0.2">
      <c r="A471" s="9"/>
      <c r="B471" s="197" t="s">
        <v>146</v>
      </c>
      <c r="C471" s="198">
        <v>0.4</v>
      </c>
      <c r="D471" s="199"/>
      <c r="E471" s="199">
        <f>E458/E456</f>
        <v>0.97066511305426606</v>
      </c>
      <c r="F471" s="199"/>
      <c r="G471" s="199"/>
      <c r="H471" s="199"/>
      <c r="I471" s="199"/>
      <c r="J471" s="199"/>
      <c r="K471" s="199"/>
      <c r="L471" s="199"/>
      <c r="M471" s="199"/>
      <c r="N471" s="199"/>
      <c r="O471" s="199"/>
      <c r="P471" s="199"/>
      <c r="Q471" s="199"/>
      <c r="R471" s="199"/>
      <c r="S471" s="199"/>
      <c r="T471" s="199"/>
      <c r="U471" s="199"/>
      <c r="V471" s="199"/>
      <c r="W471" s="199"/>
      <c r="X471" s="199"/>
      <c r="Y471" s="199"/>
      <c r="Z471" s="199"/>
      <c r="AA471" s="199"/>
      <c r="AB471" s="199"/>
      <c r="AC471" s="9"/>
      <c r="AD471" s="9"/>
      <c r="AE471" s="10"/>
      <c r="AF471" s="10"/>
      <c r="AG471" s="10"/>
      <c r="AH471" s="10"/>
      <c r="AI471" s="10"/>
      <c r="AJ471" s="10"/>
      <c r="AK471" s="10"/>
      <c r="AL471" s="10"/>
      <c r="AM471" s="10"/>
    </row>
    <row r="472" spans="1:39" ht="15.75" hidden="1" customHeight="1" x14ac:dyDescent="0.2">
      <c r="A472" s="9"/>
      <c r="B472" s="197" t="s">
        <v>147</v>
      </c>
      <c r="C472" s="198">
        <v>0.35</v>
      </c>
      <c r="D472" s="199"/>
      <c r="E472" s="199">
        <f>AVERAGE(E374:P374)/E458</f>
        <v>0.22123092904168987</v>
      </c>
      <c r="F472" s="200"/>
      <c r="G472" s="200"/>
      <c r="H472" s="200"/>
      <c r="I472" s="200"/>
      <c r="J472" s="200"/>
      <c r="K472" s="200"/>
      <c r="L472" s="200"/>
      <c r="M472" s="200"/>
      <c r="N472" s="200"/>
      <c r="O472" s="200"/>
      <c r="P472" s="200"/>
      <c r="Q472" s="200"/>
      <c r="R472" s="200"/>
      <c r="S472" s="200"/>
      <c r="T472" s="200"/>
      <c r="U472" s="200"/>
      <c r="V472" s="200"/>
      <c r="W472" s="200"/>
      <c r="X472" s="200"/>
      <c r="Y472" s="200"/>
      <c r="Z472" s="200"/>
      <c r="AA472" s="200"/>
      <c r="AB472" s="200"/>
      <c r="AC472" s="9"/>
      <c r="AD472" s="9"/>
      <c r="AE472" s="10"/>
      <c r="AF472" s="10"/>
      <c r="AG472" s="10"/>
      <c r="AH472" s="10"/>
      <c r="AI472" s="10"/>
      <c r="AJ472" s="10"/>
      <c r="AK472" s="10"/>
      <c r="AL472" s="10"/>
      <c r="AM472" s="10"/>
    </row>
    <row r="473" spans="1:39" ht="15.75" hidden="1" customHeight="1" x14ac:dyDescent="0.2">
      <c r="A473" s="9"/>
      <c r="B473" s="197" t="s">
        <v>148</v>
      </c>
      <c r="C473" s="198">
        <v>0.1</v>
      </c>
      <c r="D473" s="199"/>
      <c r="E473" s="199">
        <f>AVERAGE(E374:P374)/E450</f>
        <v>15.929138513401206</v>
      </c>
      <c r="F473" s="200"/>
      <c r="G473" s="200"/>
      <c r="H473" s="200"/>
      <c r="I473" s="200"/>
      <c r="J473" s="200"/>
      <c r="K473" s="200"/>
      <c r="L473" s="200"/>
      <c r="M473" s="200"/>
      <c r="N473" s="200"/>
      <c r="O473" s="200"/>
      <c r="P473" s="200"/>
      <c r="Q473" s="200"/>
      <c r="R473" s="200"/>
      <c r="S473" s="200"/>
      <c r="T473" s="200"/>
      <c r="U473" s="200"/>
      <c r="V473" s="200"/>
      <c r="W473" s="200"/>
      <c r="X473" s="200"/>
      <c r="Y473" s="200"/>
      <c r="Z473" s="200"/>
      <c r="AA473" s="200"/>
      <c r="AB473" s="200"/>
      <c r="AC473" s="9"/>
      <c r="AD473" s="9"/>
      <c r="AE473" s="10"/>
      <c r="AF473" s="10"/>
      <c r="AG473" s="10"/>
      <c r="AH473" s="10"/>
      <c r="AI473" s="10"/>
      <c r="AJ473" s="10"/>
      <c r="AK473" s="10"/>
      <c r="AL473" s="10"/>
      <c r="AM473" s="10"/>
    </row>
    <row r="474" spans="1:39" ht="15.75" hidden="1" customHeight="1" x14ac:dyDescent="0.2">
      <c r="A474" s="9"/>
      <c r="B474" s="201" t="s">
        <v>149</v>
      </c>
      <c r="C474" s="202">
        <v>60</v>
      </c>
      <c r="D474" s="203"/>
      <c r="E474" s="203"/>
      <c r="F474" s="203"/>
      <c r="G474" s="203"/>
      <c r="H474" s="203"/>
      <c r="I474" s="203"/>
      <c r="J474" s="203"/>
      <c r="K474" s="203"/>
      <c r="L474" s="203"/>
      <c r="M474" s="203"/>
      <c r="N474" s="203"/>
      <c r="O474" s="203"/>
      <c r="P474" s="203"/>
      <c r="Q474" s="203"/>
      <c r="R474" s="203"/>
      <c r="S474" s="203"/>
      <c r="T474" s="203"/>
      <c r="U474" s="203"/>
      <c r="V474" s="203"/>
      <c r="W474" s="203"/>
      <c r="X474" s="203"/>
      <c r="Y474" s="203"/>
      <c r="Z474" s="203"/>
      <c r="AA474" s="203"/>
      <c r="AB474" s="203"/>
      <c r="AC474" s="9"/>
      <c r="AD474" s="9"/>
      <c r="AE474" s="10"/>
      <c r="AF474" s="10"/>
      <c r="AG474" s="10"/>
      <c r="AH474" s="10"/>
      <c r="AI474" s="10"/>
      <c r="AJ474" s="10"/>
      <c r="AK474" s="10"/>
      <c r="AL474" s="10"/>
      <c r="AM474" s="10"/>
    </row>
    <row r="475" spans="1:39" ht="15.75" hidden="1" customHeight="1" x14ac:dyDescent="0.2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  <c r="AA475" s="9"/>
      <c r="AB475" s="9"/>
      <c r="AC475" s="9"/>
      <c r="AD475" s="9"/>
      <c r="AE475" s="10"/>
      <c r="AF475" s="10"/>
      <c r="AG475" s="10"/>
      <c r="AH475" s="10"/>
      <c r="AI475" s="10"/>
      <c r="AJ475" s="10"/>
      <c r="AK475" s="10"/>
      <c r="AL475" s="10"/>
      <c r="AM475" s="10"/>
    </row>
    <row r="476" spans="1:39" ht="15.75" customHeight="1" x14ac:dyDescent="0.2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  <c r="AA476" s="9"/>
      <c r="AB476" s="9"/>
      <c r="AC476" s="9"/>
      <c r="AD476" s="9"/>
      <c r="AE476" s="10"/>
      <c r="AF476" s="10"/>
      <c r="AG476" s="10"/>
      <c r="AH476" s="10"/>
      <c r="AI476" s="10"/>
      <c r="AJ476" s="10"/>
      <c r="AK476" s="10"/>
      <c r="AL476" s="10"/>
      <c r="AM476" s="10"/>
    </row>
    <row r="477" spans="1:39" ht="15.75" customHeight="1" x14ac:dyDescent="0.2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  <c r="AA477" s="9"/>
      <c r="AB477" s="9"/>
      <c r="AC477" s="9"/>
      <c r="AD477" s="9"/>
      <c r="AE477" s="10"/>
      <c r="AF477" s="10"/>
      <c r="AG477" s="10"/>
      <c r="AH477" s="10"/>
      <c r="AI477" s="10"/>
      <c r="AJ477" s="10"/>
      <c r="AK477" s="10"/>
      <c r="AL477" s="10"/>
      <c r="AM477" s="10"/>
    </row>
    <row r="478" spans="1:39" ht="15.75" customHeight="1" x14ac:dyDescent="0.2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  <c r="AA478" s="9"/>
      <c r="AB478" s="9"/>
      <c r="AC478" s="9"/>
      <c r="AD478" s="9"/>
      <c r="AE478" s="10"/>
      <c r="AF478" s="10"/>
      <c r="AG478" s="10"/>
      <c r="AH478" s="10"/>
      <c r="AI478" s="10"/>
      <c r="AJ478" s="10"/>
      <c r="AK478" s="10"/>
      <c r="AL478" s="10"/>
      <c r="AM478" s="10"/>
    </row>
    <row r="479" spans="1:39" ht="15.75" customHeight="1" x14ac:dyDescent="0.25">
      <c r="A479" s="204"/>
      <c r="B479" s="205" t="s">
        <v>150</v>
      </c>
      <c r="C479" s="204"/>
      <c r="D479" s="206">
        <f t="shared" ref="D479:AD479" si="307">D10/122*100</f>
        <v>142098.36065573769</v>
      </c>
      <c r="E479" s="206">
        <f t="shared" si="307"/>
        <v>297114.75409836066</v>
      </c>
      <c r="F479" s="206">
        <f t="shared" si="307"/>
        <v>453965.73770491796</v>
      </c>
      <c r="G479" s="206">
        <f t="shared" si="307"/>
        <v>768291.88524590165</v>
      </c>
      <c r="H479" s="206">
        <f t="shared" si="307"/>
        <v>788748.85573770502</v>
      </c>
      <c r="I479" s="206">
        <f t="shared" si="307"/>
        <v>1250794.4606557377</v>
      </c>
      <c r="J479" s="206">
        <f t="shared" si="307"/>
        <v>1126114.6662950821</v>
      </c>
      <c r="K479" s="206">
        <f t="shared" si="307"/>
        <v>1025680.0272459015</v>
      </c>
      <c r="L479" s="206">
        <f t="shared" si="307"/>
        <v>869819.16101114743</v>
      </c>
      <c r="M479" s="206">
        <f t="shared" si="307"/>
        <v>864615.75353508198</v>
      </c>
      <c r="N479" s="206">
        <f t="shared" si="307"/>
        <v>988933.74001261638</v>
      </c>
      <c r="O479" s="206">
        <f t="shared" si="307"/>
        <v>1271985.7116793576</v>
      </c>
      <c r="P479" s="206">
        <f t="shared" si="307"/>
        <v>1579941.406409333</v>
      </c>
      <c r="Q479" s="206">
        <f t="shared" si="307"/>
        <v>1908768.3319792945</v>
      </c>
      <c r="R479" s="206">
        <f t="shared" si="307"/>
        <v>2524428.8307215287</v>
      </c>
      <c r="S479" s="206">
        <f t="shared" si="307"/>
        <v>2421271.1641829857</v>
      </c>
      <c r="T479" s="206">
        <f t="shared" si="307"/>
        <v>2931969.096857097</v>
      </c>
      <c r="U479" s="206">
        <f t="shared" si="307"/>
        <v>3222898.1807104205</v>
      </c>
      <c r="V479" s="206">
        <f t="shared" si="307"/>
        <v>2693570.7422921676</v>
      </c>
      <c r="W479" s="206">
        <f t="shared" si="307"/>
        <v>2427059.1571333418</v>
      </c>
      <c r="X479" s="206">
        <f t="shared" si="307"/>
        <v>1948655.7272387033</v>
      </c>
      <c r="Y479" s="206">
        <f t="shared" si="307"/>
        <v>1923424.4080119585</v>
      </c>
      <c r="Z479" s="206">
        <f t="shared" si="307"/>
        <v>2007342.2927794</v>
      </c>
      <c r="AA479" s="206">
        <f t="shared" si="307"/>
        <v>3177332.3861560733</v>
      </c>
      <c r="AB479" s="206">
        <f t="shared" si="307"/>
        <v>3463482.0257229432</v>
      </c>
      <c r="AC479" s="206">
        <f t="shared" si="307"/>
        <v>4031788.7806920409</v>
      </c>
      <c r="AD479" s="206">
        <f t="shared" si="307"/>
        <v>4798051.5374623258</v>
      </c>
      <c r="AE479" s="87"/>
      <c r="AF479" s="87"/>
      <c r="AG479" s="87"/>
      <c r="AH479" s="87"/>
      <c r="AI479" s="87"/>
      <c r="AJ479" s="87"/>
      <c r="AK479" s="87"/>
      <c r="AL479" s="87"/>
      <c r="AM479" s="87"/>
    </row>
    <row r="480" spans="1:39" ht="15.75" customHeight="1" x14ac:dyDescent="0.25">
      <c r="A480" s="204"/>
      <c r="B480" s="205" t="s">
        <v>151</v>
      </c>
      <c r="C480" s="204"/>
      <c r="D480" s="206">
        <f t="shared" ref="D480:AD480" si="308">(D212+D333+D346+D354)/122*100</f>
        <v>-182124.34426229508</v>
      </c>
      <c r="E480" s="206">
        <f t="shared" si="308"/>
        <v>-280582.7049180328</v>
      </c>
      <c r="F480" s="206">
        <f t="shared" si="308"/>
        <v>-352568.23770491802</v>
      </c>
      <c r="G480" s="206">
        <f t="shared" si="308"/>
        <v>-506693.75</v>
      </c>
      <c r="H480" s="206">
        <f t="shared" si="308"/>
        <v>-511489.17295081966</v>
      </c>
      <c r="I480" s="206">
        <f t="shared" si="308"/>
        <v>-732645.61926229508</v>
      </c>
      <c r="J480" s="206">
        <f t="shared" si="308"/>
        <v>-671015.53034426225</v>
      </c>
      <c r="K480" s="206">
        <f t="shared" si="308"/>
        <v>-605843.76082786883</v>
      </c>
      <c r="L480" s="206">
        <f t="shared" si="308"/>
        <v>-530493.2773314754</v>
      </c>
      <c r="M480" s="206">
        <f t="shared" si="308"/>
        <v>-529273.5200050819</v>
      </c>
      <c r="N480" s="206">
        <f t="shared" si="308"/>
        <v>-597229.87593095726</v>
      </c>
      <c r="O480" s="206">
        <f t="shared" si="308"/>
        <v>-737613.16866341326</v>
      </c>
      <c r="P480" s="206">
        <f t="shared" si="308"/>
        <v>-890245.35057366302</v>
      </c>
      <c r="Q480" s="206">
        <f t="shared" si="308"/>
        <v>-1047770.0643190655</v>
      </c>
      <c r="R480" s="206">
        <f t="shared" si="308"/>
        <v>-1322530.109093419</v>
      </c>
      <c r="S480" s="206">
        <f t="shared" si="308"/>
        <v>-1260994.7075928175</v>
      </c>
      <c r="T480" s="206">
        <f t="shared" si="308"/>
        <v>-1491855.2715415356</v>
      </c>
      <c r="U480" s="206">
        <f t="shared" si="308"/>
        <v>-1637442.0602605836</v>
      </c>
      <c r="V480" s="206">
        <f t="shared" si="308"/>
        <v>-1362179.5285915968</v>
      </c>
      <c r="W480" s="206">
        <f t="shared" si="308"/>
        <v>-1222316.5704704432</v>
      </c>
      <c r="X480" s="206">
        <f t="shared" si="308"/>
        <v>-1001707.570060643</v>
      </c>
      <c r="Y480" s="206">
        <f t="shared" si="308"/>
        <v>-995792.96763464494</v>
      </c>
      <c r="Z480" s="206">
        <f t="shared" si="308"/>
        <v>-1046798.6014789154</v>
      </c>
      <c r="AA480" s="206">
        <f t="shared" si="308"/>
        <v>-1616713.208617327</v>
      </c>
      <c r="AB480" s="206">
        <f t="shared" si="308"/>
        <v>-1757524.6087188039</v>
      </c>
      <c r="AC480" s="206">
        <f t="shared" si="308"/>
        <v>-2000384.6329449923</v>
      </c>
      <c r="AD480" s="206">
        <f t="shared" si="308"/>
        <v>-2366019.1180164977</v>
      </c>
      <c r="AE480" s="87"/>
      <c r="AF480" s="87"/>
      <c r="AG480" s="87"/>
      <c r="AH480" s="87"/>
      <c r="AI480" s="87"/>
      <c r="AJ480" s="87"/>
      <c r="AK480" s="87"/>
      <c r="AL480" s="87"/>
      <c r="AM480" s="87"/>
    </row>
    <row r="481" spans="1:39" ht="15.75" customHeight="1" x14ac:dyDescent="0.2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  <c r="AA481" s="9"/>
      <c r="AB481" s="9"/>
      <c r="AC481" s="9"/>
      <c r="AD481" s="9"/>
      <c r="AE481" s="10"/>
      <c r="AF481" s="10"/>
      <c r="AG481" s="10"/>
      <c r="AH481" s="10"/>
      <c r="AI481" s="10"/>
      <c r="AJ481" s="10"/>
      <c r="AK481" s="10"/>
      <c r="AL481" s="10"/>
      <c r="AM481" s="10"/>
    </row>
    <row r="482" spans="1:39" ht="15.75" customHeight="1" x14ac:dyDescent="0.2">
      <c r="A482" s="9"/>
      <c r="B482" s="207" t="s">
        <v>152</v>
      </c>
      <c r="C482" s="9"/>
      <c r="D482" s="208">
        <f t="shared" ref="D482:AD482" si="309">D479*0.22</f>
        <v>31261.639344262294</v>
      </c>
      <c r="E482" s="208">
        <f t="shared" si="309"/>
        <v>65365.245901639348</v>
      </c>
      <c r="F482" s="208">
        <f t="shared" si="309"/>
        <v>99872.462295081947</v>
      </c>
      <c r="G482" s="208">
        <f t="shared" si="309"/>
        <v>169024.21475409836</v>
      </c>
      <c r="H482" s="208">
        <f t="shared" si="309"/>
        <v>173524.74826229509</v>
      </c>
      <c r="I482" s="208">
        <f t="shared" si="309"/>
        <v>275174.7813442623</v>
      </c>
      <c r="J482" s="208">
        <f t="shared" si="309"/>
        <v>247745.22658491807</v>
      </c>
      <c r="K482" s="208">
        <f t="shared" si="309"/>
        <v>225649.60599409833</v>
      </c>
      <c r="L482" s="208">
        <f t="shared" si="309"/>
        <v>191360.21542245243</v>
      </c>
      <c r="M482" s="208">
        <f t="shared" si="309"/>
        <v>190215.46577771803</v>
      </c>
      <c r="N482" s="208">
        <f t="shared" si="309"/>
        <v>217565.4228027756</v>
      </c>
      <c r="O482" s="208">
        <f t="shared" si="309"/>
        <v>279836.85656945867</v>
      </c>
      <c r="P482" s="208">
        <f t="shared" si="309"/>
        <v>347587.10941005324</v>
      </c>
      <c r="Q482" s="208">
        <f t="shared" si="309"/>
        <v>419929.03303544479</v>
      </c>
      <c r="R482" s="208">
        <f t="shared" si="309"/>
        <v>555374.34275873634</v>
      </c>
      <c r="S482" s="208">
        <f t="shared" si="309"/>
        <v>532679.65612025687</v>
      </c>
      <c r="T482" s="208">
        <f t="shared" si="309"/>
        <v>645033.20130856137</v>
      </c>
      <c r="U482" s="208">
        <f t="shared" si="309"/>
        <v>709037.59975629253</v>
      </c>
      <c r="V482" s="208">
        <f t="shared" si="309"/>
        <v>592585.5633042769</v>
      </c>
      <c r="W482" s="208">
        <f t="shared" si="309"/>
        <v>533953.01456933515</v>
      </c>
      <c r="X482" s="208">
        <f t="shared" si="309"/>
        <v>428704.25999251474</v>
      </c>
      <c r="Y482" s="208">
        <f t="shared" si="309"/>
        <v>423153.36976263084</v>
      </c>
      <c r="Z482" s="208">
        <f t="shared" si="309"/>
        <v>441615.30441146798</v>
      </c>
      <c r="AA482" s="208">
        <f t="shared" si="309"/>
        <v>699013.12495433609</v>
      </c>
      <c r="AB482" s="208">
        <f t="shared" si="309"/>
        <v>761966.04565904755</v>
      </c>
      <c r="AC482" s="208">
        <f t="shared" si="309"/>
        <v>886993.53175224899</v>
      </c>
      <c r="AD482" s="208">
        <f t="shared" si="309"/>
        <v>1055571.3382417117</v>
      </c>
      <c r="AE482" s="10"/>
      <c r="AF482" s="10"/>
      <c r="AG482" s="10"/>
      <c r="AH482" s="10"/>
      <c r="AI482" s="10"/>
      <c r="AJ482" s="10"/>
      <c r="AK482" s="10"/>
      <c r="AL482" s="10"/>
      <c r="AM482" s="10"/>
    </row>
    <row r="483" spans="1:39" ht="15.75" customHeight="1" x14ac:dyDescent="0.2">
      <c r="A483" s="9"/>
      <c r="B483" s="207" t="s">
        <v>153</v>
      </c>
      <c r="C483" s="9"/>
      <c r="D483" s="208">
        <f t="shared" ref="D483:AD483" si="310">D480*0.22</f>
        <v>-40067.355737704922</v>
      </c>
      <c r="E483" s="208">
        <f t="shared" si="310"/>
        <v>-61728.19508196722</v>
      </c>
      <c r="F483" s="208">
        <f t="shared" si="310"/>
        <v>-77565.012295081964</v>
      </c>
      <c r="G483" s="208">
        <f t="shared" si="310"/>
        <v>-111472.625</v>
      </c>
      <c r="H483" s="208">
        <f t="shared" si="310"/>
        <v>-112527.61804918032</v>
      </c>
      <c r="I483" s="208">
        <f t="shared" si="310"/>
        <v>-161182.03623770492</v>
      </c>
      <c r="J483" s="208">
        <f t="shared" si="310"/>
        <v>-147623.41667573771</v>
      </c>
      <c r="K483" s="208">
        <f t="shared" si="310"/>
        <v>-133285.62738213115</v>
      </c>
      <c r="L483" s="208">
        <f t="shared" si="310"/>
        <v>-116708.52101292458</v>
      </c>
      <c r="M483" s="208">
        <f t="shared" si="310"/>
        <v>-116440.17440111801</v>
      </c>
      <c r="N483" s="208">
        <f t="shared" si="310"/>
        <v>-131390.57270481059</v>
      </c>
      <c r="O483" s="208">
        <f t="shared" si="310"/>
        <v>-162274.89710595092</v>
      </c>
      <c r="P483" s="208">
        <f t="shared" si="310"/>
        <v>-195853.97712620586</v>
      </c>
      <c r="Q483" s="208">
        <f t="shared" si="310"/>
        <v>-230509.41415019441</v>
      </c>
      <c r="R483" s="208">
        <f t="shared" si="310"/>
        <v>-290956.62400055217</v>
      </c>
      <c r="S483" s="208">
        <f t="shared" si="310"/>
        <v>-277418.83567041985</v>
      </c>
      <c r="T483" s="208">
        <f t="shared" si="310"/>
        <v>-328208.15973913786</v>
      </c>
      <c r="U483" s="208">
        <f t="shared" si="310"/>
        <v>-360237.25325732841</v>
      </c>
      <c r="V483" s="208">
        <f t="shared" si="310"/>
        <v>-299679.49629015126</v>
      </c>
      <c r="W483" s="208">
        <f t="shared" si="310"/>
        <v>-268909.64550349751</v>
      </c>
      <c r="X483" s="208">
        <f t="shared" si="310"/>
        <v>-220375.66541334146</v>
      </c>
      <c r="Y483" s="208">
        <f t="shared" si="310"/>
        <v>-219074.45287962188</v>
      </c>
      <c r="Z483" s="208">
        <f t="shared" si="310"/>
        <v>-230295.69232536139</v>
      </c>
      <c r="AA483" s="208">
        <f t="shared" si="310"/>
        <v>-355676.90589581197</v>
      </c>
      <c r="AB483" s="208">
        <f t="shared" si="310"/>
        <v>-386655.41391813685</v>
      </c>
      <c r="AC483" s="208">
        <f t="shared" si="310"/>
        <v>-440084.61924789828</v>
      </c>
      <c r="AD483" s="208">
        <f t="shared" si="310"/>
        <v>-520524.20596362947</v>
      </c>
      <c r="AE483" s="10"/>
      <c r="AF483" s="10"/>
      <c r="AG483" s="10"/>
      <c r="AH483" s="10"/>
      <c r="AI483" s="10"/>
      <c r="AJ483" s="10"/>
      <c r="AK483" s="10"/>
      <c r="AL483" s="10"/>
      <c r="AM483" s="10"/>
    </row>
    <row r="484" spans="1:39" ht="15.75" customHeight="1" x14ac:dyDescent="0.2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  <c r="AA484" s="9"/>
      <c r="AB484" s="9"/>
      <c r="AC484" s="9"/>
      <c r="AD484" s="9"/>
      <c r="AE484" s="10"/>
      <c r="AF484" s="10"/>
      <c r="AG484" s="10"/>
      <c r="AH484" s="10"/>
      <c r="AI484" s="10"/>
      <c r="AJ484" s="10"/>
      <c r="AK484" s="10"/>
      <c r="AL484" s="10"/>
      <c r="AM484" s="10"/>
    </row>
    <row r="485" spans="1:39" ht="15.75" customHeight="1" x14ac:dyDescent="0.2">
      <c r="A485" s="209"/>
      <c r="B485" s="210" t="s">
        <v>154</v>
      </c>
      <c r="C485" s="209"/>
      <c r="D485" s="211">
        <f t="shared" ref="D485:AD485" si="311">D482+D483</f>
        <v>-8805.716393442628</v>
      </c>
      <c r="E485" s="211">
        <f t="shared" si="311"/>
        <v>3637.0508196721275</v>
      </c>
      <c r="F485" s="211">
        <f t="shared" si="311"/>
        <v>22307.449999999983</v>
      </c>
      <c r="G485" s="211">
        <f t="shared" si="311"/>
        <v>57551.589754098357</v>
      </c>
      <c r="H485" s="211">
        <f t="shared" si="311"/>
        <v>60997.130213114768</v>
      </c>
      <c r="I485" s="211">
        <f t="shared" si="311"/>
        <v>113992.74510655738</v>
      </c>
      <c r="J485" s="211">
        <f t="shared" si="311"/>
        <v>100121.80990918036</v>
      </c>
      <c r="K485" s="211">
        <f t="shared" si="311"/>
        <v>92363.978611967177</v>
      </c>
      <c r="L485" s="211">
        <f t="shared" si="311"/>
        <v>74651.694409527845</v>
      </c>
      <c r="M485" s="211">
        <f t="shared" si="311"/>
        <v>73775.291376600013</v>
      </c>
      <c r="N485" s="211">
        <f t="shared" si="311"/>
        <v>86174.850097965013</v>
      </c>
      <c r="O485" s="211">
        <f t="shared" si="311"/>
        <v>117561.95946350775</v>
      </c>
      <c r="P485" s="211">
        <f t="shared" si="311"/>
        <v>151733.13228384737</v>
      </c>
      <c r="Q485" s="211">
        <f t="shared" si="311"/>
        <v>189419.61888525038</v>
      </c>
      <c r="R485" s="211">
        <f t="shared" si="311"/>
        <v>264417.71875818417</v>
      </c>
      <c r="S485" s="211">
        <f t="shared" si="311"/>
        <v>255260.82044983702</v>
      </c>
      <c r="T485" s="211">
        <f t="shared" si="311"/>
        <v>316825.04156942351</v>
      </c>
      <c r="U485" s="211">
        <f t="shared" si="311"/>
        <v>348800.34649896412</v>
      </c>
      <c r="V485" s="211">
        <f t="shared" si="311"/>
        <v>292906.06701412564</v>
      </c>
      <c r="W485" s="211">
        <f t="shared" si="311"/>
        <v>265043.36906583764</v>
      </c>
      <c r="X485" s="211">
        <f t="shared" si="311"/>
        <v>208328.59457917328</v>
      </c>
      <c r="Y485" s="211">
        <f t="shared" si="311"/>
        <v>204078.91688300896</v>
      </c>
      <c r="Z485" s="211">
        <f t="shared" si="311"/>
        <v>211319.61208610659</v>
      </c>
      <c r="AA485" s="211">
        <f t="shared" si="311"/>
        <v>343336.21905852412</v>
      </c>
      <c r="AB485" s="211">
        <f t="shared" si="311"/>
        <v>375310.6317409107</v>
      </c>
      <c r="AC485" s="211">
        <f t="shared" si="311"/>
        <v>446908.91250435071</v>
      </c>
      <c r="AD485" s="211">
        <f t="shared" si="311"/>
        <v>535047.13227808219</v>
      </c>
      <c r="AE485" s="209"/>
      <c r="AF485" s="209"/>
      <c r="AG485" s="209"/>
      <c r="AH485" s="209"/>
      <c r="AI485" s="209"/>
      <c r="AJ485" s="209"/>
      <c r="AK485" s="209"/>
      <c r="AL485" s="209"/>
      <c r="AM485" s="209"/>
    </row>
    <row r="486" spans="1:39" ht="15.75" customHeight="1" x14ac:dyDescent="0.2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  <c r="AA486" s="9"/>
      <c r="AB486" s="9"/>
      <c r="AC486" s="9"/>
      <c r="AD486" s="9"/>
      <c r="AE486" s="10"/>
      <c r="AF486" s="10"/>
      <c r="AG486" s="10"/>
      <c r="AH486" s="10"/>
      <c r="AI486" s="10"/>
      <c r="AJ486" s="10"/>
      <c r="AK486" s="10"/>
      <c r="AL486" s="10"/>
      <c r="AM486" s="10"/>
    </row>
    <row r="487" spans="1:39" ht="15.75" customHeight="1" x14ac:dyDescent="0.2">
      <c r="A487" s="209"/>
      <c r="B487" s="210" t="s">
        <v>155</v>
      </c>
      <c r="C487" s="209"/>
      <c r="D487" s="211">
        <f t="shared" ref="D487:AD487" si="312">D479*5%</f>
        <v>7104.9180327868853</v>
      </c>
      <c r="E487" s="211">
        <f t="shared" si="312"/>
        <v>14855.737704918034</v>
      </c>
      <c r="F487" s="211">
        <f t="shared" si="312"/>
        <v>22698.2868852459</v>
      </c>
      <c r="G487" s="211">
        <f t="shared" si="312"/>
        <v>38414.594262295082</v>
      </c>
      <c r="H487" s="211">
        <f t="shared" si="312"/>
        <v>39437.442786885251</v>
      </c>
      <c r="I487" s="211">
        <f t="shared" si="312"/>
        <v>62539.723032786889</v>
      </c>
      <c r="J487" s="211">
        <f t="shared" si="312"/>
        <v>56305.733314754107</v>
      </c>
      <c r="K487" s="211">
        <f t="shared" si="312"/>
        <v>51284.001362295079</v>
      </c>
      <c r="L487" s="211">
        <f t="shared" si="312"/>
        <v>43490.958050557376</v>
      </c>
      <c r="M487" s="211">
        <f t="shared" si="312"/>
        <v>43230.787676754102</v>
      </c>
      <c r="N487" s="211">
        <f t="shared" si="312"/>
        <v>49446.687000630824</v>
      </c>
      <c r="O487" s="211">
        <f t="shared" si="312"/>
        <v>63599.285583967881</v>
      </c>
      <c r="P487" s="211">
        <f t="shared" si="312"/>
        <v>78997.07032046665</v>
      </c>
      <c r="Q487" s="211">
        <f t="shared" si="312"/>
        <v>95438.41659896473</v>
      </c>
      <c r="R487" s="211">
        <f t="shared" si="312"/>
        <v>126221.44153607644</v>
      </c>
      <c r="S487" s="211">
        <f t="shared" si="312"/>
        <v>121063.55820914928</v>
      </c>
      <c r="T487" s="211">
        <f t="shared" si="312"/>
        <v>146598.45484285484</v>
      </c>
      <c r="U487" s="211">
        <f t="shared" si="312"/>
        <v>161144.90903552104</v>
      </c>
      <c r="V487" s="211">
        <f t="shared" si="312"/>
        <v>134678.53711460839</v>
      </c>
      <c r="W487" s="211">
        <f t="shared" si="312"/>
        <v>121352.9578566671</v>
      </c>
      <c r="X487" s="211">
        <f t="shared" si="312"/>
        <v>97432.78636193517</v>
      </c>
      <c r="Y487" s="211">
        <f t="shared" si="312"/>
        <v>96171.220400597929</v>
      </c>
      <c r="Z487" s="211">
        <f t="shared" si="312"/>
        <v>100367.11463897</v>
      </c>
      <c r="AA487" s="211">
        <f t="shared" si="312"/>
        <v>158866.61930780369</v>
      </c>
      <c r="AB487" s="211">
        <f t="shared" si="312"/>
        <v>173174.10128614717</v>
      </c>
      <c r="AC487" s="211">
        <f t="shared" si="312"/>
        <v>201589.43903460205</v>
      </c>
      <c r="AD487" s="211">
        <f t="shared" si="312"/>
        <v>239902.57687311631</v>
      </c>
      <c r="AE487" s="209"/>
      <c r="AF487" s="209"/>
      <c r="AG487" s="209"/>
      <c r="AH487" s="209"/>
      <c r="AI487" s="209"/>
      <c r="AJ487" s="209"/>
      <c r="AK487" s="209"/>
      <c r="AL487" s="209"/>
      <c r="AM487" s="209"/>
    </row>
    <row r="488" spans="1:39" ht="15.75" customHeight="1" x14ac:dyDescent="0.2">
      <c r="A488" s="209"/>
      <c r="B488" s="210" t="s">
        <v>156</v>
      </c>
      <c r="C488" s="209"/>
      <c r="D488" s="211">
        <f t="shared" ref="D488:AD488" si="313">D479*7%</f>
        <v>9946.8852459016398</v>
      </c>
      <c r="E488" s="211">
        <f t="shared" si="313"/>
        <v>20798.032786885247</v>
      </c>
      <c r="F488" s="211">
        <f t="shared" si="313"/>
        <v>31777.601639344259</v>
      </c>
      <c r="G488" s="211">
        <f t="shared" si="313"/>
        <v>53780.431967213124</v>
      </c>
      <c r="H488" s="211">
        <f t="shared" si="313"/>
        <v>55212.419901639354</v>
      </c>
      <c r="I488" s="211">
        <f t="shared" si="313"/>
        <v>87555.612245901648</v>
      </c>
      <c r="J488" s="211">
        <f t="shared" si="313"/>
        <v>78828.026640655749</v>
      </c>
      <c r="K488" s="211">
        <f t="shared" si="313"/>
        <v>71797.601907213117</v>
      </c>
      <c r="L488" s="211">
        <f t="shared" si="313"/>
        <v>60887.341270780329</v>
      </c>
      <c r="M488" s="211">
        <f t="shared" si="313"/>
        <v>60523.102747455741</v>
      </c>
      <c r="N488" s="211">
        <f t="shared" si="313"/>
        <v>69225.361800883155</v>
      </c>
      <c r="O488" s="211">
        <f t="shared" si="313"/>
        <v>89038.999817555043</v>
      </c>
      <c r="P488" s="211">
        <f t="shared" si="313"/>
        <v>110595.89844865332</v>
      </c>
      <c r="Q488" s="211">
        <f t="shared" si="313"/>
        <v>133613.78323855062</v>
      </c>
      <c r="R488" s="211">
        <f t="shared" si="313"/>
        <v>176710.01815050704</v>
      </c>
      <c r="S488" s="211">
        <f t="shared" si="313"/>
        <v>169488.98149280902</v>
      </c>
      <c r="T488" s="211">
        <f t="shared" si="313"/>
        <v>205237.83677999681</v>
      </c>
      <c r="U488" s="211">
        <f t="shared" si="313"/>
        <v>225602.87264972946</v>
      </c>
      <c r="V488" s="211">
        <f t="shared" si="313"/>
        <v>188549.95196045176</v>
      </c>
      <c r="W488" s="211">
        <f t="shared" si="313"/>
        <v>169894.14099933393</v>
      </c>
      <c r="X488" s="211">
        <f t="shared" si="313"/>
        <v>136405.90090670926</v>
      </c>
      <c r="Y488" s="211">
        <f t="shared" si="313"/>
        <v>134639.70856083711</v>
      </c>
      <c r="Z488" s="211">
        <f t="shared" si="313"/>
        <v>140513.96049455801</v>
      </c>
      <c r="AA488" s="211">
        <f t="shared" si="313"/>
        <v>222413.26703092514</v>
      </c>
      <c r="AB488" s="211">
        <f t="shared" si="313"/>
        <v>242443.74180060605</v>
      </c>
      <c r="AC488" s="211">
        <f t="shared" si="313"/>
        <v>282225.21464844287</v>
      </c>
      <c r="AD488" s="211">
        <f t="shared" si="313"/>
        <v>335863.60762236285</v>
      </c>
      <c r="AE488" s="209"/>
      <c r="AF488" s="209"/>
      <c r="AG488" s="209"/>
      <c r="AH488" s="209"/>
      <c r="AI488" s="209"/>
      <c r="AJ488" s="209"/>
      <c r="AK488" s="209"/>
      <c r="AL488" s="209"/>
      <c r="AM488" s="209"/>
    </row>
    <row r="489" spans="1:39" ht="15.75" customHeight="1" x14ac:dyDescent="0.2">
      <c r="A489" s="9"/>
      <c r="B489" s="207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  <c r="AA489" s="9"/>
      <c r="AB489" s="9"/>
      <c r="AC489" s="9"/>
      <c r="AD489" s="9"/>
      <c r="AE489" s="10"/>
      <c r="AF489" s="10"/>
      <c r="AG489" s="10"/>
      <c r="AH489" s="10"/>
      <c r="AI489" s="10"/>
      <c r="AJ489" s="10"/>
      <c r="AK489" s="10"/>
      <c r="AL489" s="10"/>
      <c r="AM489" s="10"/>
    </row>
    <row r="490" spans="1:39" ht="15.75" customHeight="1" x14ac:dyDescent="0.2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  <c r="AA490" s="9"/>
      <c r="AB490" s="9"/>
      <c r="AC490" s="9"/>
      <c r="AD490" s="9"/>
      <c r="AE490" s="10"/>
      <c r="AF490" s="10"/>
      <c r="AG490" s="10"/>
      <c r="AH490" s="10"/>
      <c r="AI490" s="10"/>
      <c r="AJ490" s="10"/>
      <c r="AK490" s="10"/>
      <c r="AL490" s="10"/>
      <c r="AM490" s="10"/>
    </row>
    <row r="491" spans="1:39" ht="15.75" customHeight="1" x14ac:dyDescent="0.2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  <c r="AA491" s="9"/>
      <c r="AB491" s="9"/>
      <c r="AC491" s="9"/>
      <c r="AD491" s="9"/>
      <c r="AE491" s="10"/>
      <c r="AF491" s="10"/>
      <c r="AG491" s="10"/>
      <c r="AH491" s="10"/>
      <c r="AI491" s="10"/>
      <c r="AJ491" s="10"/>
      <c r="AK491" s="10"/>
      <c r="AL491" s="10"/>
      <c r="AM491" s="10"/>
    </row>
    <row r="492" spans="1:39" ht="15.75" customHeight="1" x14ac:dyDescent="0.2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  <c r="AA492" s="9"/>
      <c r="AB492" s="9"/>
      <c r="AC492" s="9"/>
      <c r="AD492" s="9"/>
      <c r="AE492" s="10"/>
      <c r="AF492" s="10"/>
      <c r="AG492" s="10"/>
      <c r="AH492" s="10"/>
      <c r="AI492" s="10"/>
      <c r="AJ492" s="10"/>
      <c r="AK492" s="10"/>
      <c r="AL492" s="10"/>
      <c r="AM492" s="10"/>
    </row>
    <row r="493" spans="1:39" ht="15.75" customHeight="1" x14ac:dyDescent="0.2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  <c r="AA493" s="9"/>
      <c r="AB493" s="9"/>
      <c r="AC493" s="9"/>
      <c r="AD493" s="9"/>
      <c r="AE493" s="10"/>
      <c r="AF493" s="10"/>
      <c r="AG493" s="10"/>
      <c r="AH493" s="10"/>
      <c r="AI493" s="10"/>
      <c r="AJ493" s="10"/>
      <c r="AK493" s="10"/>
      <c r="AL493" s="10"/>
      <c r="AM493" s="10"/>
    </row>
    <row r="494" spans="1:39" ht="15.75" customHeight="1" x14ac:dyDescent="0.2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  <c r="AA494" s="9"/>
      <c r="AB494" s="9"/>
      <c r="AC494" s="9"/>
      <c r="AD494" s="9"/>
      <c r="AE494" s="10"/>
      <c r="AF494" s="10"/>
      <c r="AG494" s="10"/>
      <c r="AH494" s="10"/>
      <c r="AI494" s="10"/>
      <c r="AJ494" s="10"/>
      <c r="AK494" s="10"/>
      <c r="AL494" s="10"/>
      <c r="AM494" s="10"/>
    </row>
    <row r="495" spans="1:39" ht="15.75" customHeight="1" x14ac:dyDescent="0.2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  <c r="AA495" s="9"/>
      <c r="AB495" s="9"/>
      <c r="AC495" s="9"/>
      <c r="AD495" s="9"/>
      <c r="AE495" s="10"/>
      <c r="AF495" s="10"/>
      <c r="AG495" s="10"/>
      <c r="AH495" s="10"/>
      <c r="AI495" s="10"/>
      <c r="AJ495" s="10"/>
      <c r="AK495" s="10"/>
      <c r="AL495" s="10"/>
      <c r="AM495" s="10"/>
    </row>
    <row r="496" spans="1:39" ht="15.75" customHeight="1" x14ac:dyDescent="0.2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  <c r="AA496" s="9"/>
      <c r="AB496" s="9"/>
      <c r="AC496" s="9"/>
      <c r="AD496" s="9"/>
      <c r="AE496" s="10"/>
      <c r="AF496" s="10"/>
      <c r="AG496" s="10"/>
      <c r="AH496" s="10"/>
      <c r="AI496" s="10"/>
      <c r="AJ496" s="10"/>
      <c r="AK496" s="10"/>
      <c r="AL496" s="10"/>
      <c r="AM496" s="10"/>
    </row>
    <row r="497" spans="1:39" ht="15.75" customHeight="1" x14ac:dyDescent="0.2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  <c r="AA497" s="9"/>
      <c r="AB497" s="9"/>
      <c r="AC497" s="9"/>
      <c r="AD497" s="9"/>
      <c r="AE497" s="10"/>
      <c r="AF497" s="10"/>
      <c r="AG497" s="10"/>
      <c r="AH497" s="10"/>
      <c r="AI497" s="10"/>
      <c r="AJ497" s="10"/>
      <c r="AK497" s="10"/>
      <c r="AL497" s="10"/>
      <c r="AM497" s="10"/>
    </row>
    <row r="498" spans="1:39" ht="15.75" customHeight="1" x14ac:dyDescent="0.2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  <c r="AA498" s="9"/>
      <c r="AB498" s="9"/>
      <c r="AC498" s="9"/>
      <c r="AD498" s="9"/>
      <c r="AE498" s="10"/>
      <c r="AF498" s="10"/>
      <c r="AG498" s="10"/>
      <c r="AH498" s="10"/>
      <c r="AI498" s="10"/>
      <c r="AJ498" s="10"/>
      <c r="AK498" s="10"/>
      <c r="AL498" s="10"/>
      <c r="AM498" s="10"/>
    </row>
    <row r="499" spans="1:39" ht="15.75" customHeight="1" x14ac:dyDescent="0.2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  <c r="AA499" s="9"/>
      <c r="AB499" s="9"/>
      <c r="AC499" s="9"/>
      <c r="AD499" s="9"/>
      <c r="AE499" s="10"/>
      <c r="AF499" s="10"/>
      <c r="AG499" s="10"/>
      <c r="AH499" s="10"/>
      <c r="AI499" s="10"/>
      <c r="AJ499" s="10"/>
      <c r="AK499" s="10"/>
      <c r="AL499" s="10"/>
      <c r="AM499" s="10"/>
    </row>
    <row r="500" spans="1:39" ht="15.75" customHeight="1" x14ac:dyDescent="0.2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  <c r="AA500" s="9"/>
      <c r="AB500" s="9"/>
      <c r="AC500" s="9"/>
      <c r="AD500" s="9"/>
      <c r="AE500" s="10"/>
      <c r="AF500" s="10"/>
      <c r="AG500" s="10"/>
      <c r="AH500" s="10"/>
      <c r="AI500" s="10"/>
      <c r="AJ500" s="10"/>
      <c r="AK500" s="10"/>
      <c r="AL500" s="10"/>
      <c r="AM500" s="10"/>
    </row>
    <row r="501" spans="1:39" ht="15.75" customHeight="1" x14ac:dyDescent="0.2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  <c r="AA501" s="9"/>
      <c r="AB501" s="9"/>
      <c r="AC501" s="9"/>
      <c r="AD501" s="9"/>
      <c r="AE501" s="10"/>
      <c r="AF501" s="10"/>
      <c r="AG501" s="10"/>
      <c r="AH501" s="10"/>
      <c r="AI501" s="10"/>
      <c r="AJ501" s="10"/>
      <c r="AK501" s="10"/>
      <c r="AL501" s="10"/>
      <c r="AM501" s="10"/>
    </row>
    <row r="502" spans="1:39" ht="15.75" customHeight="1" x14ac:dyDescent="0.2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  <c r="AA502" s="9"/>
      <c r="AB502" s="9"/>
      <c r="AC502" s="9"/>
      <c r="AD502" s="9"/>
      <c r="AE502" s="10"/>
      <c r="AF502" s="10"/>
      <c r="AG502" s="10"/>
      <c r="AH502" s="10"/>
      <c r="AI502" s="10"/>
      <c r="AJ502" s="10"/>
      <c r="AK502" s="10"/>
      <c r="AL502" s="10"/>
      <c r="AM502" s="10"/>
    </row>
    <row r="503" spans="1:39" ht="15.75" customHeight="1" x14ac:dyDescent="0.2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  <c r="AA503" s="9"/>
      <c r="AB503" s="9"/>
      <c r="AC503" s="9"/>
      <c r="AD503" s="9"/>
      <c r="AE503" s="10"/>
      <c r="AF503" s="10"/>
      <c r="AG503" s="10"/>
      <c r="AH503" s="10"/>
      <c r="AI503" s="10"/>
      <c r="AJ503" s="10"/>
      <c r="AK503" s="10"/>
      <c r="AL503" s="10"/>
      <c r="AM503" s="10"/>
    </row>
    <row r="504" spans="1:39" ht="15.75" customHeight="1" x14ac:dyDescent="0.2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  <c r="AA504" s="9"/>
      <c r="AB504" s="9"/>
      <c r="AC504" s="9"/>
      <c r="AD504" s="9"/>
      <c r="AE504" s="10"/>
      <c r="AF504" s="10"/>
      <c r="AG504" s="10"/>
      <c r="AH504" s="10"/>
      <c r="AI504" s="10"/>
      <c r="AJ504" s="10"/>
      <c r="AK504" s="10"/>
      <c r="AL504" s="10"/>
      <c r="AM504" s="10"/>
    </row>
    <row r="505" spans="1:39" ht="15.75" customHeight="1" x14ac:dyDescent="0.2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  <c r="AA505" s="9"/>
      <c r="AB505" s="9"/>
      <c r="AC505" s="9"/>
      <c r="AD505" s="9"/>
      <c r="AE505" s="10"/>
      <c r="AF505" s="10"/>
      <c r="AG505" s="10"/>
      <c r="AH505" s="10"/>
      <c r="AI505" s="10"/>
      <c r="AJ505" s="10"/>
      <c r="AK505" s="10"/>
      <c r="AL505" s="10"/>
      <c r="AM505" s="10"/>
    </row>
    <row r="506" spans="1:39" ht="15.75" customHeight="1" x14ac:dyDescent="0.2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  <c r="AA506" s="9"/>
      <c r="AB506" s="9"/>
      <c r="AC506" s="9"/>
      <c r="AD506" s="9"/>
      <c r="AE506" s="10"/>
      <c r="AF506" s="10"/>
      <c r="AG506" s="10"/>
      <c r="AH506" s="10"/>
      <c r="AI506" s="10"/>
      <c r="AJ506" s="10"/>
      <c r="AK506" s="10"/>
      <c r="AL506" s="10"/>
      <c r="AM506" s="10"/>
    </row>
    <row r="507" spans="1:39" ht="15.75" customHeight="1" x14ac:dyDescent="0.2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  <c r="AA507" s="9"/>
      <c r="AB507" s="9"/>
      <c r="AC507" s="9"/>
      <c r="AD507" s="9"/>
      <c r="AE507" s="10"/>
      <c r="AF507" s="10"/>
      <c r="AG507" s="10"/>
      <c r="AH507" s="10"/>
      <c r="AI507" s="10"/>
      <c r="AJ507" s="10"/>
      <c r="AK507" s="10"/>
      <c r="AL507" s="10"/>
      <c r="AM507" s="10"/>
    </row>
    <row r="508" spans="1:39" ht="15.75" customHeight="1" x14ac:dyDescent="0.2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  <c r="AA508" s="9"/>
      <c r="AB508" s="9"/>
      <c r="AC508" s="9"/>
      <c r="AD508" s="9"/>
      <c r="AE508" s="10"/>
      <c r="AF508" s="10"/>
      <c r="AG508" s="10"/>
      <c r="AH508" s="10"/>
      <c r="AI508" s="10"/>
      <c r="AJ508" s="10"/>
      <c r="AK508" s="10"/>
      <c r="AL508" s="10"/>
      <c r="AM508" s="10"/>
    </row>
    <row r="509" spans="1:39" ht="15.75" customHeight="1" x14ac:dyDescent="0.2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  <c r="AA509" s="9"/>
      <c r="AB509" s="9"/>
      <c r="AC509" s="9"/>
      <c r="AD509" s="9"/>
      <c r="AE509" s="10"/>
      <c r="AF509" s="10"/>
      <c r="AG509" s="10"/>
      <c r="AH509" s="10"/>
      <c r="AI509" s="10"/>
      <c r="AJ509" s="10"/>
      <c r="AK509" s="10"/>
      <c r="AL509" s="10"/>
      <c r="AM509" s="10"/>
    </row>
    <row r="510" spans="1:39" ht="15.75" customHeight="1" x14ac:dyDescent="0.2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  <c r="AA510" s="9"/>
      <c r="AB510" s="9"/>
      <c r="AC510" s="9"/>
      <c r="AD510" s="9"/>
      <c r="AE510" s="10"/>
      <c r="AF510" s="10"/>
      <c r="AG510" s="10"/>
      <c r="AH510" s="10"/>
      <c r="AI510" s="10"/>
      <c r="AJ510" s="10"/>
      <c r="AK510" s="10"/>
      <c r="AL510" s="10"/>
      <c r="AM510" s="10"/>
    </row>
    <row r="511" spans="1:39" ht="15.75" customHeight="1" x14ac:dyDescent="0.2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  <c r="AA511" s="9"/>
      <c r="AB511" s="9"/>
      <c r="AC511" s="9"/>
      <c r="AD511" s="9"/>
      <c r="AE511" s="10"/>
      <c r="AF511" s="10"/>
      <c r="AG511" s="10"/>
      <c r="AH511" s="10"/>
      <c r="AI511" s="10"/>
      <c r="AJ511" s="10"/>
      <c r="AK511" s="10"/>
      <c r="AL511" s="10"/>
      <c r="AM511" s="10"/>
    </row>
    <row r="512" spans="1:39" ht="15.75" customHeight="1" x14ac:dyDescent="0.2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  <c r="AA512" s="9"/>
      <c r="AB512" s="9"/>
      <c r="AC512" s="9"/>
      <c r="AD512" s="9"/>
      <c r="AE512" s="10"/>
      <c r="AF512" s="10"/>
      <c r="AG512" s="10"/>
      <c r="AH512" s="10"/>
      <c r="AI512" s="10"/>
      <c r="AJ512" s="10"/>
      <c r="AK512" s="10"/>
      <c r="AL512" s="10"/>
      <c r="AM512" s="10"/>
    </row>
    <row r="513" spans="1:39" ht="15.75" customHeight="1" x14ac:dyDescent="0.2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  <c r="AA513" s="9"/>
      <c r="AB513" s="9"/>
      <c r="AC513" s="9"/>
      <c r="AD513" s="9"/>
      <c r="AE513" s="10"/>
      <c r="AF513" s="10"/>
      <c r="AG513" s="10"/>
      <c r="AH513" s="10"/>
      <c r="AI513" s="10"/>
      <c r="AJ513" s="10"/>
      <c r="AK513" s="10"/>
      <c r="AL513" s="10"/>
      <c r="AM513" s="10"/>
    </row>
    <row r="514" spans="1:39" ht="15.75" customHeight="1" x14ac:dyDescent="0.2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  <c r="AA514" s="9"/>
      <c r="AB514" s="9"/>
      <c r="AC514" s="9"/>
      <c r="AD514" s="9"/>
      <c r="AE514" s="10"/>
      <c r="AF514" s="10"/>
      <c r="AG514" s="10"/>
      <c r="AH514" s="10"/>
      <c r="AI514" s="10"/>
      <c r="AJ514" s="10"/>
      <c r="AK514" s="10"/>
      <c r="AL514" s="10"/>
      <c r="AM514" s="10"/>
    </row>
    <row r="515" spans="1:39" ht="15.75" customHeight="1" x14ac:dyDescent="0.2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  <c r="AA515" s="9"/>
      <c r="AB515" s="9"/>
      <c r="AC515" s="9"/>
      <c r="AD515" s="9"/>
      <c r="AE515" s="10"/>
      <c r="AF515" s="10"/>
      <c r="AG515" s="10"/>
      <c r="AH515" s="10"/>
      <c r="AI515" s="10"/>
      <c r="AJ515" s="10"/>
      <c r="AK515" s="10"/>
      <c r="AL515" s="10"/>
      <c r="AM515" s="10"/>
    </row>
    <row r="516" spans="1:39" ht="15.75" customHeight="1" x14ac:dyDescent="0.2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  <c r="AA516" s="9"/>
      <c r="AB516" s="9"/>
      <c r="AC516" s="9"/>
      <c r="AD516" s="9"/>
      <c r="AE516" s="10"/>
      <c r="AF516" s="10"/>
      <c r="AG516" s="10"/>
      <c r="AH516" s="10"/>
      <c r="AI516" s="10"/>
      <c r="AJ516" s="10"/>
      <c r="AK516" s="10"/>
      <c r="AL516" s="10"/>
      <c r="AM516" s="10"/>
    </row>
    <row r="517" spans="1:39" ht="15.75" customHeight="1" x14ac:dyDescent="0.2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  <c r="AA517" s="9"/>
      <c r="AB517" s="9"/>
      <c r="AC517" s="9"/>
      <c r="AD517" s="9"/>
      <c r="AE517" s="10"/>
      <c r="AF517" s="10"/>
      <c r="AG517" s="10"/>
      <c r="AH517" s="10"/>
      <c r="AI517" s="10"/>
      <c r="AJ517" s="10"/>
      <c r="AK517" s="10"/>
      <c r="AL517" s="10"/>
      <c r="AM517" s="10"/>
    </row>
    <row r="518" spans="1:39" ht="15.75" customHeight="1" x14ac:dyDescent="0.2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  <c r="AA518" s="9"/>
      <c r="AB518" s="9"/>
      <c r="AC518" s="9"/>
      <c r="AD518" s="9"/>
      <c r="AE518" s="10"/>
      <c r="AF518" s="10"/>
      <c r="AG518" s="10"/>
      <c r="AH518" s="10"/>
      <c r="AI518" s="10"/>
      <c r="AJ518" s="10"/>
      <c r="AK518" s="10"/>
      <c r="AL518" s="10"/>
      <c r="AM518" s="10"/>
    </row>
    <row r="519" spans="1:39" ht="15.75" customHeight="1" x14ac:dyDescent="0.2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  <c r="AA519" s="9"/>
      <c r="AB519" s="9"/>
      <c r="AC519" s="9"/>
      <c r="AD519" s="9"/>
      <c r="AE519" s="10"/>
      <c r="AF519" s="10"/>
      <c r="AG519" s="10"/>
      <c r="AH519" s="10"/>
      <c r="AI519" s="10"/>
      <c r="AJ519" s="10"/>
      <c r="AK519" s="10"/>
      <c r="AL519" s="10"/>
      <c r="AM519" s="10"/>
    </row>
    <row r="520" spans="1:39" ht="15.75" customHeight="1" x14ac:dyDescent="0.2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  <c r="AA520" s="9"/>
      <c r="AB520" s="9"/>
      <c r="AC520" s="9"/>
      <c r="AD520" s="9"/>
      <c r="AE520" s="10"/>
      <c r="AF520" s="10"/>
      <c r="AG520" s="10"/>
      <c r="AH520" s="10"/>
      <c r="AI520" s="10"/>
      <c r="AJ520" s="10"/>
      <c r="AK520" s="10"/>
      <c r="AL520" s="10"/>
      <c r="AM520" s="10"/>
    </row>
    <row r="521" spans="1:39" ht="15.75" customHeight="1" x14ac:dyDescent="0.2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  <c r="AA521" s="9"/>
      <c r="AB521" s="9"/>
      <c r="AC521" s="9"/>
      <c r="AD521" s="9"/>
      <c r="AE521" s="10"/>
      <c r="AF521" s="10"/>
      <c r="AG521" s="10"/>
      <c r="AH521" s="10"/>
      <c r="AI521" s="10"/>
      <c r="AJ521" s="10"/>
      <c r="AK521" s="10"/>
      <c r="AL521" s="10"/>
      <c r="AM521" s="10"/>
    </row>
    <row r="522" spans="1:39" ht="15.75" customHeight="1" x14ac:dyDescent="0.2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  <c r="AA522" s="9"/>
      <c r="AB522" s="9"/>
      <c r="AC522" s="9"/>
      <c r="AD522" s="9"/>
      <c r="AE522" s="10"/>
      <c r="AF522" s="10"/>
      <c r="AG522" s="10"/>
      <c r="AH522" s="10"/>
      <c r="AI522" s="10"/>
      <c r="AJ522" s="10"/>
      <c r="AK522" s="10"/>
      <c r="AL522" s="10"/>
      <c r="AM522" s="10"/>
    </row>
    <row r="523" spans="1:39" ht="15.75" customHeight="1" x14ac:dyDescent="0.2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  <c r="AA523" s="9"/>
      <c r="AB523" s="9"/>
      <c r="AC523" s="9"/>
      <c r="AD523" s="9"/>
      <c r="AE523" s="10"/>
      <c r="AF523" s="10"/>
      <c r="AG523" s="10"/>
      <c r="AH523" s="10"/>
      <c r="AI523" s="10"/>
      <c r="AJ523" s="10"/>
      <c r="AK523" s="10"/>
      <c r="AL523" s="10"/>
      <c r="AM523" s="10"/>
    </row>
    <row r="524" spans="1:39" ht="15.75" customHeight="1" x14ac:dyDescent="0.2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  <c r="AA524" s="9"/>
      <c r="AB524" s="9"/>
      <c r="AC524" s="9"/>
      <c r="AD524" s="9"/>
      <c r="AE524" s="10"/>
      <c r="AF524" s="10"/>
      <c r="AG524" s="10"/>
      <c r="AH524" s="10"/>
      <c r="AI524" s="10"/>
      <c r="AJ524" s="10"/>
      <c r="AK524" s="10"/>
      <c r="AL524" s="10"/>
      <c r="AM524" s="10"/>
    </row>
    <row r="525" spans="1:39" ht="15.75" customHeight="1" x14ac:dyDescent="0.2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  <c r="AA525" s="9"/>
      <c r="AB525" s="9"/>
      <c r="AC525" s="9"/>
      <c r="AD525" s="9"/>
      <c r="AE525" s="10"/>
      <c r="AF525" s="10"/>
      <c r="AG525" s="10"/>
      <c r="AH525" s="10"/>
      <c r="AI525" s="10"/>
      <c r="AJ525" s="10"/>
      <c r="AK525" s="10"/>
      <c r="AL525" s="10"/>
      <c r="AM525" s="10"/>
    </row>
    <row r="526" spans="1:39" ht="15.75" customHeight="1" x14ac:dyDescent="0.2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  <c r="AA526" s="9"/>
      <c r="AB526" s="9"/>
      <c r="AC526" s="9"/>
      <c r="AD526" s="9"/>
      <c r="AE526" s="10"/>
      <c r="AF526" s="10"/>
      <c r="AG526" s="10"/>
      <c r="AH526" s="10"/>
      <c r="AI526" s="10"/>
      <c r="AJ526" s="10"/>
      <c r="AK526" s="10"/>
      <c r="AL526" s="10"/>
      <c r="AM526" s="10"/>
    </row>
    <row r="527" spans="1:39" ht="15.75" customHeight="1" x14ac:dyDescent="0.2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  <c r="AA527" s="9"/>
      <c r="AB527" s="9"/>
      <c r="AC527" s="9"/>
      <c r="AD527" s="9"/>
      <c r="AE527" s="10"/>
      <c r="AF527" s="10"/>
      <c r="AG527" s="10"/>
      <c r="AH527" s="10"/>
      <c r="AI527" s="10"/>
      <c r="AJ527" s="10"/>
      <c r="AK527" s="10"/>
      <c r="AL527" s="10"/>
      <c r="AM527" s="10"/>
    </row>
    <row r="528" spans="1:39" ht="15.75" customHeight="1" x14ac:dyDescent="0.2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  <c r="AA528" s="9"/>
      <c r="AB528" s="9"/>
      <c r="AC528" s="9"/>
      <c r="AD528" s="9"/>
      <c r="AE528" s="10"/>
      <c r="AF528" s="10"/>
      <c r="AG528" s="10"/>
      <c r="AH528" s="10"/>
      <c r="AI528" s="10"/>
      <c r="AJ528" s="10"/>
      <c r="AK528" s="10"/>
      <c r="AL528" s="10"/>
      <c r="AM528" s="10"/>
    </row>
    <row r="529" spans="1:39" ht="15.75" customHeight="1" x14ac:dyDescent="0.2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  <c r="AA529" s="9"/>
      <c r="AB529" s="9"/>
      <c r="AC529" s="9"/>
      <c r="AD529" s="9"/>
      <c r="AE529" s="10"/>
      <c r="AF529" s="10"/>
      <c r="AG529" s="10"/>
      <c r="AH529" s="10"/>
      <c r="AI529" s="10"/>
      <c r="AJ529" s="10"/>
      <c r="AK529" s="10"/>
      <c r="AL529" s="10"/>
      <c r="AM529" s="10"/>
    </row>
    <row r="530" spans="1:39" ht="15.75" customHeight="1" x14ac:dyDescent="0.2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  <c r="AA530" s="9"/>
      <c r="AB530" s="9"/>
      <c r="AC530" s="9"/>
      <c r="AD530" s="9"/>
      <c r="AE530" s="10"/>
      <c r="AF530" s="10"/>
      <c r="AG530" s="10"/>
      <c r="AH530" s="10"/>
      <c r="AI530" s="10"/>
      <c r="AJ530" s="10"/>
      <c r="AK530" s="10"/>
      <c r="AL530" s="10"/>
      <c r="AM530" s="10"/>
    </row>
    <row r="531" spans="1:39" ht="15.75" customHeight="1" x14ac:dyDescent="0.2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  <c r="AA531" s="9"/>
      <c r="AB531" s="9"/>
      <c r="AC531" s="9"/>
      <c r="AD531" s="9"/>
      <c r="AE531" s="10"/>
      <c r="AF531" s="10"/>
      <c r="AG531" s="10"/>
      <c r="AH531" s="10"/>
      <c r="AI531" s="10"/>
      <c r="AJ531" s="10"/>
      <c r="AK531" s="10"/>
      <c r="AL531" s="10"/>
      <c r="AM531" s="10"/>
    </row>
    <row r="532" spans="1:39" ht="15.75" customHeight="1" x14ac:dyDescent="0.2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  <c r="AA532" s="9"/>
      <c r="AB532" s="9"/>
      <c r="AC532" s="9"/>
      <c r="AD532" s="9"/>
      <c r="AE532" s="10"/>
      <c r="AF532" s="10"/>
      <c r="AG532" s="10"/>
      <c r="AH532" s="10"/>
      <c r="AI532" s="10"/>
      <c r="AJ532" s="10"/>
      <c r="AK532" s="10"/>
      <c r="AL532" s="10"/>
      <c r="AM532" s="10"/>
    </row>
    <row r="533" spans="1:39" ht="15.75" customHeight="1" x14ac:dyDescent="0.2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  <c r="AA533" s="9"/>
      <c r="AB533" s="9"/>
      <c r="AC533" s="9"/>
      <c r="AD533" s="9"/>
      <c r="AE533" s="10"/>
      <c r="AF533" s="10"/>
      <c r="AG533" s="10"/>
      <c r="AH533" s="10"/>
      <c r="AI533" s="10"/>
      <c r="AJ533" s="10"/>
      <c r="AK533" s="10"/>
      <c r="AL533" s="10"/>
      <c r="AM533" s="10"/>
    </row>
    <row r="534" spans="1:39" ht="15.75" customHeight="1" x14ac:dyDescent="0.2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  <c r="AA534" s="9"/>
      <c r="AB534" s="9"/>
      <c r="AC534" s="9"/>
      <c r="AD534" s="9"/>
      <c r="AE534" s="10"/>
      <c r="AF534" s="10"/>
      <c r="AG534" s="10"/>
      <c r="AH534" s="10"/>
      <c r="AI534" s="10"/>
      <c r="AJ534" s="10"/>
      <c r="AK534" s="10"/>
      <c r="AL534" s="10"/>
      <c r="AM534" s="10"/>
    </row>
    <row r="535" spans="1:39" ht="15.75" customHeight="1" x14ac:dyDescent="0.2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  <c r="AA535" s="9"/>
      <c r="AB535" s="9"/>
      <c r="AC535" s="9"/>
      <c r="AD535" s="9"/>
      <c r="AE535" s="10"/>
      <c r="AF535" s="10"/>
      <c r="AG535" s="10"/>
      <c r="AH535" s="10"/>
      <c r="AI535" s="10"/>
      <c r="AJ535" s="10"/>
      <c r="AK535" s="10"/>
      <c r="AL535" s="10"/>
      <c r="AM535" s="10"/>
    </row>
    <row r="536" spans="1:39" ht="15.75" customHeight="1" x14ac:dyDescent="0.2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  <c r="AA536" s="9"/>
      <c r="AB536" s="9"/>
      <c r="AC536" s="9"/>
      <c r="AD536" s="9"/>
      <c r="AE536" s="10"/>
      <c r="AF536" s="10"/>
      <c r="AG536" s="10"/>
      <c r="AH536" s="10"/>
      <c r="AI536" s="10"/>
      <c r="AJ536" s="10"/>
      <c r="AK536" s="10"/>
      <c r="AL536" s="10"/>
      <c r="AM536" s="10"/>
    </row>
    <row r="537" spans="1:39" ht="15.75" customHeight="1" x14ac:dyDescent="0.2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  <c r="AA537" s="9"/>
      <c r="AB537" s="9"/>
      <c r="AC537" s="9"/>
      <c r="AD537" s="9"/>
      <c r="AE537" s="10"/>
      <c r="AF537" s="10"/>
      <c r="AG537" s="10"/>
      <c r="AH537" s="10"/>
      <c r="AI537" s="10"/>
      <c r="AJ537" s="10"/>
      <c r="AK537" s="10"/>
      <c r="AL537" s="10"/>
      <c r="AM537" s="10"/>
    </row>
    <row r="538" spans="1:39" ht="15.75" customHeight="1" x14ac:dyDescent="0.2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  <c r="AA538" s="9"/>
      <c r="AB538" s="9"/>
      <c r="AC538" s="9"/>
      <c r="AD538" s="9"/>
      <c r="AE538" s="10"/>
      <c r="AF538" s="10"/>
      <c r="AG538" s="10"/>
      <c r="AH538" s="10"/>
      <c r="AI538" s="10"/>
      <c r="AJ538" s="10"/>
      <c r="AK538" s="10"/>
      <c r="AL538" s="10"/>
      <c r="AM538" s="10"/>
    </row>
    <row r="539" spans="1:39" ht="15.75" customHeight="1" x14ac:dyDescent="0.2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  <c r="AA539" s="9"/>
      <c r="AB539" s="9"/>
      <c r="AC539" s="9"/>
      <c r="AD539" s="9"/>
      <c r="AE539" s="10"/>
      <c r="AF539" s="10"/>
      <c r="AG539" s="10"/>
      <c r="AH539" s="10"/>
      <c r="AI539" s="10"/>
      <c r="AJ539" s="10"/>
      <c r="AK539" s="10"/>
      <c r="AL539" s="10"/>
      <c r="AM539" s="10"/>
    </row>
    <row r="540" spans="1:39" ht="15.75" customHeight="1" x14ac:dyDescent="0.2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  <c r="AA540" s="9"/>
      <c r="AB540" s="9"/>
      <c r="AC540" s="9"/>
      <c r="AD540" s="9"/>
      <c r="AE540" s="10"/>
      <c r="AF540" s="10"/>
      <c r="AG540" s="10"/>
      <c r="AH540" s="10"/>
      <c r="AI540" s="10"/>
      <c r="AJ540" s="10"/>
      <c r="AK540" s="10"/>
      <c r="AL540" s="10"/>
      <c r="AM540" s="10"/>
    </row>
    <row r="541" spans="1:39" ht="15.75" customHeight="1" x14ac:dyDescent="0.2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  <c r="AA541" s="9"/>
      <c r="AB541" s="9"/>
      <c r="AC541" s="9"/>
      <c r="AD541" s="9"/>
      <c r="AE541" s="10"/>
      <c r="AF541" s="10"/>
      <c r="AG541" s="10"/>
      <c r="AH541" s="10"/>
      <c r="AI541" s="10"/>
      <c r="AJ541" s="10"/>
      <c r="AK541" s="10"/>
      <c r="AL541" s="10"/>
      <c r="AM541" s="10"/>
    </row>
    <row r="542" spans="1:39" ht="15.75" customHeight="1" x14ac:dyDescent="0.2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  <c r="AA542" s="9"/>
      <c r="AB542" s="9"/>
      <c r="AC542" s="9"/>
      <c r="AD542" s="9"/>
      <c r="AE542" s="10"/>
      <c r="AF542" s="10"/>
      <c r="AG542" s="10"/>
      <c r="AH542" s="10"/>
      <c r="AI542" s="10"/>
      <c r="AJ542" s="10"/>
      <c r="AK542" s="10"/>
      <c r="AL542" s="10"/>
      <c r="AM542" s="10"/>
    </row>
    <row r="543" spans="1:39" ht="15.75" customHeight="1" x14ac:dyDescent="0.2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  <c r="AA543" s="9"/>
      <c r="AB543" s="9"/>
      <c r="AC543" s="9"/>
      <c r="AD543" s="9"/>
      <c r="AE543" s="10"/>
      <c r="AF543" s="10"/>
      <c r="AG543" s="10"/>
      <c r="AH543" s="10"/>
      <c r="AI543" s="10"/>
      <c r="AJ543" s="10"/>
      <c r="AK543" s="10"/>
      <c r="AL543" s="10"/>
      <c r="AM543" s="10"/>
    </row>
    <row r="544" spans="1:39" ht="15.75" customHeight="1" x14ac:dyDescent="0.2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  <c r="AA544" s="9"/>
      <c r="AB544" s="9"/>
      <c r="AC544" s="9"/>
      <c r="AD544" s="9"/>
      <c r="AE544" s="10"/>
      <c r="AF544" s="10"/>
      <c r="AG544" s="10"/>
      <c r="AH544" s="10"/>
      <c r="AI544" s="10"/>
      <c r="AJ544" s="10"/>
      <c r="AK544" s="10"/>
      <c r="AL544" s="10"/>
      <c r="AM544" s="10"/>
    </row>
    <row r="545" spans="1:39" ht="15.75" customHeight="1" x14ac:dyDescent="0.2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  <c r="AA545" s="9"/>
      <c r="AB545" s="9"/>
      <c r="AC545" s="9"/>
      <c r="AD545" s="9"/>
      <c r="AE545" s="10"/>
      <c r="AF545" s="10"/>
      <c r="AG545" s="10"/>
      <c r="AH545" s="10"/>
      <c r="AI545" s="10"/>
      <c r="AJ545" s="10"/>
      <c r="AK545" s="10"/>
      <c r="AL545" s="10"/>
      <c r="AM545" s="10"/>
    </row>
    <row r="546" spans="1:39" ht="15.75" customHeight="1" x14ac:dyDescent="0.2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  <c r="AA546" s="9"/>
      <c r="AB546" s="9"/>
      <c r="AC546" s="9"/>
      <c r="AD546" s="9"/>
      <c r="AE546" s="10"/>
      <c r="AF546" s="10"/>
      <c r="AG546" s="10"/>
      <c r="AH546" s="10"/>
      <c r="AI546" s="10"/>
      <c r="AJ546" s="10"/>
      <c r="AK546" s="10"/>
      <c r="AL546" s="10"/>
      <c r="AM546" s="10"/>
    </row>
    <row r="547" spans="1:39" ht="15.75" customHeight="1" x14ac:dyDescent="0.2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  <c r="AA547" s="9"/>
      <c r="AB547" s="9"/>
      <c r="AC547" s="9"/>
      <c r="AD547" s="9"/>
      <c r="AE547" s="10"/>
      <c r="AF547" s="10"/>
      <c r="AG547" s="10"/>
      <c r="AH547" s="10"/>
      <c r="AI547" s="10"/>
      <c r="AJ547" s="10"/>
      <c r="AK547" s="10"/>
      <c r="AL547" s="10"/>
      <c r="AM547" s="10"/>
    </row>
    <row r="548" spans="1:39" ht="15.75" customHeight="1" x14ac:dyDescent="0.2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  <c r="AA548" s="9"/>
      <c r="AB548" s="9"/>
      <c r="AC548" s="9"/>
      <c r="AD548" s="9"/>
      <c r="AE548" s="10"/>
      <c r="AF548" s="10"/>
      <c r="AG548" s="10"/>
      <c r="AH548" s="10"/>
      <c r="AI548" s="10"/>
      <c r="AJ548" s="10"/>
      <c r="AK548" s="10"/>
      <c r="AL548" s="10"/>
      <c r="AM548" s="10"/>
    </row>
    <row r="549" spans="1:39" ht="15.75" customHeight="1" x14ac:dyDescent="0.2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  <c r="AA549" s="9"/>
      <c r="AB549" s="9"/>
      <c r="AC549" s="9"/>
      <c r="AD549" s="9"/>
      <c r="AE549" s="10"/>
      <c r="AF549" s="10"/>
      <c r="AG549" s="10"/>
      <c r="AH549" s="10"/>
      <c r="AI549" s="10"/>
      <c r="AJ549" s="10"/>
      <c r="AK549" s="10"/>
      <c r="AL549" s="10"/>
      <c r="AM549" s="10"/>
    </row>
    <row r="550" spans="1:39" ht="15.75" customHeight="1" x14ac:dyDescent="0.2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  <c r="AA550" s="9"/>
      <c r="AB550" s="9"/>
      <c r="AC550" s="9"/>
      <c r="AD550" s="9"/>
      <c r="AE550" s="10"/>
      <c r="AF550" s="10"/>
      <c r="AG550" s="10"/>
      <c r="AH550" s="10"/>
      <c r="AI550" s="10"/>
      <c r="AJ550" s="10"/>
      <c r="AK550" s="10"/>
      <c r="AL550" s="10"/>
      <c r="AM550" s="10"/>
    </row>
    <row r="551" spans="1:39" ht="15.75" customHeight="1" x14ac:dyDescent="0.2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  <c r="AA551" s="9"/>
      <c r="AB551" s="9"/>
      <c r="AC551" s="9"/>
      <c r="AD551" s="9"/>
      <c r="AE551" s="10"/>
      <c r="AF551" s="10"/>
      <c r="AG551" s="10"/>
      <c r="AH551" s="10"/>
      <c r="AI551" s="10"/>
      <c r="AJ551" s="10"/>
      <c r="AK551" s="10"/>
      <c r="AL551" s="10"/>
      <c r="AM551" s="10"/>
    </row>
    <row r="552" spans="1:39" ht="15.75" customHeight="1" x14ac:dyDescent="0.2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  <c r="AA552" s="9"/>
      <c r="AB552" s="9"/>
      <c r="AC552" s="9"/>
      <c r="AD552" s="9"/>
      <c r="AE552" s="10"/>
      <c r="AF552" s="10"/>
      <c r="AG552" s="10"/>
      <c r="AH552" s="10"/>
      <c r="AI552" s="10"/>
      <c r="AJ552" s="10"/>
      <c r="AK552" s="10"/>
      <c r="AL552" s="10"/>
      <c r="AM552" s="10"/>
    </row>
    <row r="553" spans="1:39" ht="15.75" customHeight="1" x14ac:dyDescent="0.2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  <c r="AA553" s="9"/>
      <c r="AB553" s="9"/>
      <c r="AC553" s="9"/>
      <c r="AD553" s="9"/>
      <c r="AE553" s="10"/>
      <c r="AF553" s="10"/>
      <c r="AG553" s="10"/>
      <c r="AH553" s="10"/>
      <c r="AI553" s="10"/>
      <c r="AJ553" s="10"/>
      <c r="AK553" s="10"/>
      <c r="AL553" s="10"/>
      <c r="AM553" s="10"/>
    </row>
    <row r="554" spans="1:39" ht="15.75" customHeight="1" x14ac:dyDescent="0.2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212"/>
      <c r="Q554" s="9"/>
      <c r="R554" s="9"/>
      <c r="S554" s="9"/>
      <c r="T554" s="9"/>
      <c r="U554" s="9"/>
      <c r="V554" s="9"/>
      <c r="W554" s="9"/>
      <c r="X554" s="9"/>
      <c r="Y554" s="9"/>
      <c r="Z554" s="9"/>
      <c r="AA554" s="9"/>
      <c r="AB554" s="212"/>
      <c r="AC554" s="9"/>
      <c r="AD554" s="9"/>
      <c r="AE554" s="10"/>
      <c r="AF554" s="10"/>
      <c r="AG554" s="10"/>
      <c r="AH554" s="10"/>
      <c r="AI554" s="10"/>
      <c r="AJ554" s="10"/>
      <c r="AK554" s="10"/>
      <c r="AL554" s="10"/>
      <c r="AM554" s="10"/>
    </row>
    <row r="555" spans="1:39" ht="15.75" customHeight="1" x14ac:dyDescent="0.2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212"/>
      <c r="Q555" s="9"/>
      <c r="R555" s="9"/>
      <c r="S555" s="9"/>
      <c r="T555" s="9"/>
      <c r="U555" s="9"/>
      <c r="V555" s="9"/>
      <c r="W555" s="9"/>
      <c r="X555" s="9"/>
      <c r="Y555" s="9"/>
      <c r="Z555" s="9"/>
      <c r="AA555" s="9"/>
      <c r="AB555" s="212"/>
      <c r="AC555" s="9"/>
      <c r="AD555" s="9"/>
      <c r="AE555" s="10"/>
      <c r="AF555" s="10"/>
      <c r="AG555" s="10"/>
      <c r="AH555" s="10"/>
      <c r="AI555" s="10"/>
      <c r="AJ555" s="10"/>
      <c r="AK555" s="10"/>
      <c r="AL555" s="10"/>
      <c r="AM555" s="10"/>
    </row>
    <row r="556" spans="1:39" ht="15.75" customHeight="1" x14ac:dyDescent="0.2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212"/>
      <c r="Q556" s="9"/>
      <c r="R556" s="9"/>
      <c r="S556" s="9"/>
      <c r="T556" s="9"/>
      <c r="U556" s="9"/>
      <c r="V556" s="9"/>
      <c r="W556" s="9"/>
      <c r="X556" s="9"/>
      <c r="Y556" s="9"/>
      <c r="Z556" s="9"/>
      <c r="AA556" s="9"/>
      <c r="AB556" s="212"/>
      <c r="AC556" s="9"/>
      <c r="AD556" s="9"/>
      <c r="AE556" s="10"/>
      <c r="AF556" s="10"/>
      <c r="AG556" s="10"/>
      <c r="AH556" s="10"/>
      <c r="AI556" s="10"/>
      <c r="AJ556" s="10"/>
      <c r="AK556" s="10"/>
      <c r="AL556" s="10"/>
      <c r="AM556" s="10"/>
    </row>
    <row r="557" spans="1:39" ht="15.75" customHeight="1" x14ac:dyDescent="0.2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212"/>
      <c r="Q557" s="9"/>
      <c r="R557" s="9"/>
      <c r="S557" s="9"/>
      <c r="T557" s="9"/>
      <c r="U557" s="9"/>
      <c r="V557" s="9"/>
      <c r="W557" s="9"/>
      <c r="X557" s="9"/>
      <c r="Y557" s="9"/>
      <c r="Z557" s="9"/>
      <c r="AA557" s="9"/>
      <c r="AB557" s="212"/>
      <c r="AC557" s="9"/>
      <c r="AD557" s="9"/>
      <c r="AE557" s="10"/>
      <c r="AF557" s="10"/>
      <c r="AG557" s="10"/>
      <c r="AH557" s="10"/>
      <c r="AI557" s="10"/>
      <c r="AJ557" s="10"/>
      <c r="AK557" s="10"/>
      <c r="AL557" s="10"/>
      <c r="AM557" s="10"/>
    </row>
    <row r="558" spans="1:39" ht="15.75" customHeight="1" x14ac:dyDescent="0.2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212"/>
      <c r="Q558" s="9"/>
      <c r="R558" s="9"/>
      <c r="S558" s="9"/>
      <c r="T558" s="9"/>
      <c r="U558" s="9"/>
      <c r="V558" s="9"/>
      <c r="W558" s="9"/>
      <c r="X558" s="9"/>
      <c r="Y558" s="9"/>
      <c r="Z558" s="9"/>
      <c r="AA558" s="9"/>
      <c r="AB558" s="212"/>
      <c r="AC558" s="9"/>
      <c r="AD558" s="9"/>
      <c r="AE558" s="10"/>
      <c r="AF558" s="10"/>
      <c r="AG558" s="10"/>
      <c r="AH558" s="10"/>
      <c r="AI558" s="10"/>
      <c r="AJ558" s="10"/>
      <c r="AK558" s="10"/>
      <c r="AL558" s="10"/>
      <c r="AM558" s="10"/>
    </row>
    <row r="559" spans="1:39" ht="15.75" customHeight="1" x14ac:dyDescent="0.2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212"/>
      <c r="Q559" s="9"/>
      <c r="R559" s="9"/>
      <c r="S559" s="9"/>
      <c r="T559" s="9"/>
      <c r="U559" s="9"/>
      <c r="V559" s="9"/>
      <c r="W559" s="9"/>
      <c r="X559" s="9"/>
      <c r="Y559" s="9"/>
      <c r="Z559" s="9"/>
      <c r="AA559" s="9"/>
      <c r="AB559" s="212"/>
      <c r="AC559" s="9"/>
      <c r="AD559" s="9"/>
      <c r="AE559" s="10"/>
      <c r="AF559" s="10"/>
      <c r="AG559" s="10"/>
      <c r="AH559" s="10"/>
      <c r="AI559" s="10"/>
      <c r="AJ559" s="10"/>
      <c r="AK559" s="10"/>
      <c r="AL559" s="10"/>
      <c r="AM559" s="10"/>
    </row>
    <row r="560" spans="1:39" ht="15.75" customHeight="1" x14ac:dyDescent="0.2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212"/>
      <c r="Q560" s="9"/>
      <c r="R560" s="9"/>
      <c r="S560" s="9"/>
      <c r="T560" s="9"/>
      <c r="U560" s="9"/>
      <c r="V560" s="9"/>
      <c r="W560" s="9"/>
      <c r="X560" s="9"/>
      <c r="Y560" s="9"/>
      <c r="Z560" s="9"/>
      <c r="AA560" s="9"/>
      <c r="AB560" s="212"/>
      <c r="AC560" s="9"/>
      <c r="AD560" s="9"/>
      <c r="AE560" s="10"/>
      <c r="AF560" s="10"/>
      <c r="AG560" s="10"/>
      <c r="AH560" s="10"/>
      <c r="AI560" s="10"/>
      <c r="AJ560" s="10"/>
      <c r="AK560" s="10"/>
      <c r="AL560" s="10"/>
      <c r="AM560" s="10"/>
    </row>
    <row r="561" spans="1:39" ht="15.75" customHeight="1" x14ac:dyDescent="0.2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212"/>
      <c r="Q561" s="9"/>
      <c r="R561" s="9"/>
      <c r="S561" s="9"/>
      <c r="T561" s="9"/>
      <c r="U561" s="9"/>
      <c r="V561" s="9"/>
      <c r="W561" s="9"/>
      <c r="X561" s="9"/>
      <c r="Y561" s="9"/>
      <c r="Z561" s="9"/>
      <c r="AA561" s="9"/>
      <c r="AB561" s="212"/>
      <c r="AC561" s="9"/>
      <c r="AD561" s="9"/>
      <c r="AE561" s="10"/>
      <c r="AF561" s="10"/>
      <c r="AG561" s="10"/>
      <c r="AH561" s="10"/>
      <c r="AI561" s="10"/>
      <c r="AJ561" s="10"/>
      <c r="AK561" s="10"/>
      <c r="AL561" s="10"/>
      <c r="AM561" s="10"/>
    </row>
    <row r="562" spans="1:39" ht="15.75" customHeight="1" x14ac:dyDescent="0.2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212"/>
      <c r="Q562" s="9"/>
      <c r="R562" s="9"/>
      <c r="S562" s="9"/>
      <c r="T562" s="9"/>
      <c r="U562" s="9"/>
      <c r="V562" s="9"/>
      <c r="W562" s="9"/>
      <c r="X562" s="9"/>
      <c r="Y562" s="9"/>
      <c r="Z562" s="9"/>
      <c r="AA562" s="9"/>
      <c r="AB562" s="212"/>
      <c r="AC562" s="9"/>
      <c r="AD562" s="9"/>
      <c r="AE562" s="10"/>
      <c r="AF562" s="10"/>
      <c r="AG562" s="10"/>
      <c r="AH562" s="10"/>
      <c r="AI562" s="10"/>
      <c r="AJ562" s="10"/>
      <c r="AK562" s="10"/>
      <c r="AL562" s="10"/>
      <c r="AM562" s="10"/>
    </row>
    <row r="563" spans="1:39" ht="15.75" customHeight="1" x14ac:dyDescent="0.2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212"/>
      <c r="Q563" s="9"/>
      <c r="R563" s="9"/>
      <c r="S563" s="9"/>
      <c r="T563" s="9"/>
      <c r="U563" s="9"/>
      <c r="V563" s="9"/>
      <c r="W563" s="9"/>
      <c r="X563" s="9"/>
      <c r="Y563" s="9"/>
      <c r="Z563" s="9"/>
      <c r="AA563" s="9"/>
      <c r="AB563" s="212"/>
      <c r="AC563" s="9"/>
      <c r="AD563" s="9"/>
      <c r="AE563" s="10"/>
      <c r="AF563" s="10"/>
      <c r="AG563" s="10"/>
      <c r="AH563" s="10"/>
      <c r="AI563" s="10"/>
      <c r="AJ563" s="10"/>
      <c r="AK563" s="10"/>
      <c r="AL563" s="10"/>
      <c r="AM563" s="10"/>
    </row>
    <row r="564" spans="1:39" ht="15.75" customHeight="1" x14ac:dyDescent="0.2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212"/>
      <c r="Q564" s="9"/>
      <c r="R564" s="9"/>
      <c r="S564" s="9"/>
      <c r="T564" s="9"/>
      <c r="U564" s="9"/>
      <c r="V564" s="9"/>
      <c r="W564" s="9"/>
      <c r="X564" s="9"/>
      <c r="Y564" s="9"/>
      <c r="Z564" s="9"/>
      <c r="AA564" s="9"/>
      <c r="AB564" s="212"/>
      <c r="AC564" s="9"/>
      <c r="AD564" s="9"/>
      <c r="AE564" s="10"/>
      <c r="AF564" s="10"/>
      <c r="AG564" s="10"/>
      <c r="AH564" s="10"/>
      <c r="AI564" s="10"/>
      <c r="AJ564" s="10"/>
      <c r="AK564" s="10"/>
      <c r="AL564" s="10"/>
      <c r="AM564" s="10"/>
    </row>
    <row r="565" spans="1:39" ht="15.75" customHeight="1" x14ac:dyDescent="0.2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212"/>
      <c r="Q565" s="9"/>
      <c r="R565" s="9"/>
      <c r="S565" s="9"/>
      <c r="T565" s="9"/>
      <c r="U565" s="9"/>
      <c r="V565" s="9"/>
      <c r="W565" s="9"/>
      <c r="X565" s="9"/>
      <c r="Y565" s="9"/>
      <c r="Z565" s="9"/>
      <c r="AA565" s="9"/>
      <c r="AB565" s="212"/>
      <c r="AC565" s="9"/>
      <c r="AD565" s="9"/>
      <c r="AE565" s="10"/>
      <c r="AF565" s="10"/>
      <c r="AG565" s="10"/>
      <c r="AH565" s="10"/>
      <c r="AI565" s="10"/>
      <c r="AJ565" s="10"/>
      <c r="AK565" s="10"/>
      <c r="AL565" s="10"/>
      <c r="AM565" s="10"/>
    </row>
    <row r="566" spans="1:39" ht="15.75" customHeight="1" x14ac:dyDescent="0.2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212"/>
      <c r="Q566" s="9"/>
      <c r="R566" s="9"/>
      <c r="S566" s="9"/>
      <c r="T566" s="9"/>
      <c r="U566" s="9"/>
      <c r="V566" s="9"/>
      <c r="W566" s="9"/>
      <c r="X566" s="9"/>
      <c r="Y566" s="9"/>
      <c r="Z566" s="9"/>
      <c r="AA566" s="9"/>
      <c r="AB566" s="212"/>
      <c r="AC566" s="9"/>
      <c r="AD566" s="9"/>
      <c r="AE566" s="10"/>
      <c r="AF566" s="10"/>
      <c r="AG566" s="10"/>
      <c r="AH566" s="10"/>
      <c r="AI566" s="10"/>
      <c r="AJ566" s="10"/>
      <c r="AK566" s="10"/>
      <c r="AL566" s="10"/>
      <c r="AM566" s="10"/>
    </row>
    <row r="567" spans="1:39" ht="15.75" customHeight="1" x14ac:dyDescent="0.2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212"/>
      <c r="Q567" s="9"/>
      <c r="R567" s="9"/>
      <c r="S567" s="9"/>
      <c r="T567" s="9"/>
      <c r="U567" s="9"/>
      <c r="V567" s="9"/>
      <c r="W567" s="9"/>
      <c r="X567" s="9"/>
      <c r="Y567" s="9"/>
      <c r="Z567" s="9"/>
      <c r="AA567" s="9"/>
      <c r="AB567" s="212"/>
      <c r="AC567" s="9"/>
      <c r="AD567" s="9"/>
      <c r="AE567" s="10"/>
      <c r="AF567" s="10"/>
      <c r="AG567" s="10"/>
      <c r="AH567" s="10"/>
      <c r="AI567" s="10"/>
      <c r="AJ567" s="10"/>
      <c r="AK567" s="10"/>
      <c r="AL567" s="10"/>
      <c r="AM567" s="10"/>
    </row>
    <row r="568" spans="1:39" ht="15.75" customHeight="1" x14ac:dyDescent="0.2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212"/>
      <c r="Q568" s="9"/>
      <c r="R568" s="9"/>
      <c r="S568" s="9"/>
      <c r="T568" s="9"/>
      <c r="U568" s="9"/>
      <c r="V568" s="9"/>
      <c r="W568" s="9"/>
      <c r="X568" s="9"/>
      <c r="Y568" s="9"/>
      <c r="Z568" s="9"/>
      <c r="AA568" s="9"/>
      <c r="AB568" s="212"/>
      <c r="AC568" s="9"/>
      <c r="AD568" s="9"/>
      <c r="AE568" s="10"/>
      <c r="AF568" s="10"/>
      <c r="AG568" s="10"/>
      <c r="AH568" s="10"/>
      <c r="AI568" s="10"/>
      <c r="AJ568" s="10"/>
      <c r="AK568" s="10"/>
      <c r="AL568" s="10"/>
      <c r="AM568" s="10"/>
    </row>
    <row r="569" spans="1:39" ht="15.75" customHeight="1" x14ac:dyDescent="0.2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212"/>
      <c r="Q569" s="9"/>
      <c r="R569" s="9"/>
      <c r="S569" s="9"/>
      <c r="T569" s="9"/>
      <c r="U569" s="9"/>
      <c r="V569" s="9"/>
      <c r="W569" s="9"/>
      <c r="X569" s="9"/>
      <c r="Y569" s="9"/>
      <c r="Z569" s="9"/>
      <c r="AA569" s="9"/>
      <c r="AB569" s="212"/>
      <c r="AC569" s="9"/>
      <c r="AD569" s="9"/>
      <c r="AE569" s="10"/>
      <c r="AF569" s="10"/>
      <c r="AG569" s="10"/>
      <c r="AH569" s="10"/>
      <c r="AI569" s="10"/>
      <c r="AJ569" s="10"/>
      <c r="AK569" s="10"/>
      <c r="AL569" s="10"/>
      <c r="AM569" s="10"/>
    </row>
    <row r="570" spans="1:39" ht="15.75" customHeight="1" x14ac:dyDescent="0.2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212"/>
      <c r="Q570" s="9"/>
      <c r="R570" s="9"/>
      <c r="S570" s="9"/>
      <c r="T570" s="9"/>
      <c r="U570" s="9"/>
      <c r="V570" s="9"/>
      <c r="W570" s="9"/>
      <c r="X570" s="9"/>
      <c r="Y570" s="9"/>
      <c r="Z570" s="9"/>
      <c r="AA570" s="9"/>
      <c r="AB570" s="212"/>
      <c r="AC570" s="9"/>
      <c r="AD570" s="9"/>
      <c r="AE570" s="10"/>
      <c r="AF570" s="10"/>
      <c r="AG570" s="10"/>
      <c r="AH570" s="10"/>
      <c r="AI570" s="10"/>
      <c r="AJ570" s="10"/>
      <c r="AK570" s="10"/>
      <c r="AL570" s="10"/>
      <c r="AM570" s="10"/>
    </row>
    <row r="571" spans="1:39" ht="15.75" customHeight="1" x14ac:dyDescent="0.2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212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212"/>
      <c r="AC571" s="9"/>
      <c r="AD571" s="9"/>
      <c r="AE571" s="10"/>
      <c r="AF571" s="10"/>
      <c r="AG571" s="10"/>
      <c r="AH571" s="10"/>
      <c r="AI571" s="10"/>
      <c r="AJ571" s="10"/>
      <c r="AK571" s="10"/>
      <c r="AL571" s="10"/>
      <c r="AM571" s="10"/>
    </row>
    <row r="572" spans="1:39" ht="15.75" customHeight="1" x14ac:dyDescent="0.2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212"/>
      <c r="Q572" s="9"/>
      <c r="R572" s="9"/>
      <c r="S572" s="9"/>
      <c r="T572" s="9"/>
      <c r="U572" s="9"/>
      <c r="V572" s="9"/>
      <c r="W572" s="9"/>
      <c r="X572" s="9"/>
      <c r="Y572" s="9"/>
      <c r="Z572" s="9"/>
      <c r="AA572" s="9"/>
      <c r="AB572" s="212"/>
      <c r="AC572" s="9"/>
      <c r="AD572" s="9"/>
      <c r="AE572" s="10"/>
      <c r="AF572" s="10"/>
      <c r="AG572" s="10"/>
      <c r="AH572" s="10"/>
      <c r="AI572" s="10"/>
      <c r="AJ572" s="10"/>
      <c r="AK572" s="10"/>
      <c r="AL572" s="10"/>
      <c r="AM572" s="10"/>
    </row>
    <row r="573" spans="1:39" ht="15.75" customHeight="1" x14ac:dyDescent="0.2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212"/>
      <c r="Q573" s="9"/>
      <c r="R573" s="9"/>
      <c r="S573" s="9"/>
      <c r="T573" s="9"/>
      <c r="U573" s="9"/>
      <c r="V573" s="9"/>
      <c r="W573" s="9"/>
      <c r="X573" s="9"/>
      <c r="Y573" s="9"/>
      <c r="Z573" s="9"/>
      <c r="AA573" s="9"/>
      <c r="AB573" s="212"/>
      <c r="AC573" s="9"/>
      <c r="AD573" s="9"/>
      <c r="AE573" s="10"/>
      <c r="AF573" s="10"/>
      <c r="AG573" s="10"/>
      <c r="AH573" s="10"/>
      <c r="AI573" s="10"/>
      <c r="AJ573" s="10"/>
      <c r="AK573" s="10"/>
      <c r="AL573" s="10"/>
      <c r="AM573" s="10"/>
    </row>
    <row r="574" spans="1:39" ht="15.75" customHeight="1" x14ac:dyDescent="0.2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212"/>
      <c r="Q574" s="9"/>
      <c r="R574" s="9"/>
      <c r="S574" s="9"/>
      <c r="T574" s="9"/>
      <c r="U574" s="9"/>
      <c r="V574" s="9"/>
      <c r="W574" s="9"/>
      <c r="X574" s="9"/>
      <c r="Y574" s="9"/>
      <c r="Z574" s="9"/>
      <c r="AA574" s="9"/>
      <c r="AB574" s="212"/>
      <c r="AC574" s="9"/>
      <c r="AD574" s="9"/>
      <c r="AE574" s="10"/>
      <c r="AF574" s="10"/>
      <c r="AG574" s="10"/>
      <c r="AH574" s="10"/>
      <c r="AI574" s="10"/>
      <c r="AJ574" s="10"/>
      <c r="AK574" s="10"/>
      <c r="AL574" s="10"/>
      <c r="AM574" s="10"/>
    </row>
    <row r="575" spans="1:39" ht="15.75" customHeight="1" x14ac:dyDescent="0.2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212"/>
      <c r="Q575" s="9"/>
      <c r="R575" s="9"/>
      <c r="S575" s="9"/>
      <c r="T575" s="9"/>
      <c r="U575" s="9"/>
      <c r="V575" s="9"/>
      <c r="W575" s="9"/>
      <c r="X575" s="9"/>
      <c r="Y575" s="9"/>
      <c r="Z575" s="9"/>
      <c r="AA575" s="9"/>
      <c r="AB575" s="212"/>
      <c r="AC575" s="9"/>
      <c r="AD575" s="9"/>
      <c r="AE575" s="10"/>
      <c r="AF575" s="10"/>
      <c r="AG575" s="10"/>
      <c r="AH575" s="10"/>
      <c r="AI575" s="10"/>
      <c r="AJ575" s="10"/>
      <c r="AK575" s="10"/>
      <c r="AL575" s="10"/>
      <c r="AM575" s="10"/>
    </row>
    <row r="576" spans="1:39" ht="15.75" customHeight="1" x14ac:dyDescent="0.2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212"/>
      <c r="Q576" s="9"/>
      <c r="R576" s="9"/>
      <c r="S576" s="9"/>
      <c r="T576" s="9"/>
      <c r="U576" s="9"/>
      <c r="V576" s="9"/>
      <c r="W576" s="9"/>
      <c r="X576" s="9"/>
      <c r="Y576" s="9"/>
      <c r="Z576" s="9"/>
      <c r="AA576" s="9"/>
      <c r="AB576" s="212"/>
      <c r="AC576" s="9"/>
      <c r="AD576" s="9"/>
      <c r="AE576" s="10"/>
      <c r="AF576" s="10"/>
      <c r="AG576" s="10"/>
      <c r="AH576" s="10"/>
      <c r="AI576" s="10"/>
      <c r="AJ576" s="10"/>
      <c r="AK576" s="10"/>
      <c r="AL576" s="10"/>
      <c r="AM576" s="10"/>
    </row>
    <row r="577" spans="1:39" ht="15.75" customHeight="1" x14ac:dyDescent="0.2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212"/>
      <c r="Q577" s="9"/>
      <c r="R577" s="9"/>
      <c r="S577" s="9"/>
      <c r="T577" s="9"/>
      <c r="U577" s="9"/>
      <c r="V577" s="9"/>
      <c r="W577" s="9"/>
      <c r="X577" s="9"/>
      <c r="Y577" s="9"/>
      <c r="Z577" s="9"/>
      <c r="AA577" s="9"/>
      <c r="AB577" s="212"/>
      <c r="AC577" s="9"/>
      <c r="AD577" s="9"/>
      <c r="AE577" s="10"/>
      <c r="AF577" s="10"/>
      <c r="AG577" s="10"/>
      <c r="AH577" s="10"/>
      <c r="AI577" s="10"/>
      <c r="AJ577" s="10"/>
      <c r="AK577" s="10"/>
      <c r="AL577" s="10"/>
      <c r="AM577" s="10"/>
    </row>
    <row r="578" spans="1:39" ht="15.75" customHeight="1" x14ac:dyDescent="0.2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212"/>
      <c r="Q578" s="9"/>
      <c r="R578" s="9"/>
      <c r="S578" s="9"/>
      <c r="T578" s="9"/>
      <c r="U578" s="9"/>
      <c r="V578" s="9"/>
      <c r="W578" s="9"/>
      <c r="X578" s="9"/>
      <c r="Y578" s="9"/>
      <c r="Z578" s="9"/>
      <c r="AA578" s="9"/>
      <c r="AB578" s="212"/>
      <c r="AC578" s="9"/>
      <c r="AD578" s="9"/>
      <c r="AE578" s="10"/>
      <c r="AF578" s="10"/>
      <c r="AG578" s="10"/>
      <c r="AH578" s="10"/>
      <c r="AI578" s="10"/>
      <c r="AJ578" s="10"/>
      <c r="AK578" s="10"/>
      <c r="AL578" s="10"/>
      <c r="AM578" s="10"/>
    </row>
    <row r="579" spans="1:39" ht="15.75" customHeight="1" x14ac:dyDescent="0.2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212"/>
      <c r="Q579" s="9"/>
      <c r="R579" s="9"/>
      <c r="S579" s="9"/>
      <c r="T579" s="9"/>
      <c r="U579" s="9"/>
      <c r="V579" s="9"/>
      <c r="W579" s="9"/>
      <c r="X579" s="9"/>
      <c r="Y579" s="9"/>
      <c r="Z579" s="9"/>
      <c r="AA579" s="9"/>
      <c r="AB579" s="212"/>
      <c r="AC579" s="9"/>
      <c r="AD579" s="9"/>
      <c r="AE579" s="10"/>
      <c r="AF579" s="10"/>
      <c r="AG579" s="10"/>
      <c r="AH579" s="10"/>
      <c r="AI579" s="10"/>
      <c r="AJ579" s="10"/>
      <c r="AK579" s="10"/>
      <c r="AL579" s="10"/>
      <c r="AM579" s="10"/>
    </row>
    <row r="580" spans="1:39" ht="15.75" customHeight="1" x14ac:dyDescent="0.2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212"/>
      <c r="Q580" s="9"/>
      <c r="R580" s="9"/>
      <c r="S580" s="9"/>
      <c r="T580" s="9"/>
      <c r="U580" s="9"/>
      <c r="V580" s="9"/>
      <c r="W580" s="9"/>
      <c r="X580" s="9"/>
      <c r="Y580" s="9"/>
      <c r="Z580" s="9"/>
      <c r="AA580" s="9"/>
      <c r="AB580" s="212"/>
      <c r="AC580" s="9"/>
      <c r="AD580" s="9"/>
      <c r="AE580" s="10"/>
      <c r="AF580" s="10"/>
      <c r="AG580" s="10"/>
      <c r="AH580" s="10"/>
      <c r="AI580" s="10"/>
      <c r="AJ580" s="10"/>
      <c r="AK580" s="10"/>
      <c r="AL580" s="10"/>
      <c r="AM580" s="10"/>
    </row>
    <row r="581" spans="1:39" ht="15.75" customHeight="1" x14ac:dyDescent="0.2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212"/>
      <c r="Q581" s="9"/>
      <c r="R581" s="9"/>
      <c r="S581" s="9"/>
      <c r="T581" s="9"/>
      <c r="U581" s="9"/>
      <c r="V581" s="9"/>
      <c r="W581" s="9"/>
      <c r="X581" s="9"/>
      <c r="Y581" s="9"/>
      <c r="Z581" s="9"/>
      <c r="AA581" s="9"/>
      <c r="AB581" s="212"/>
      <c r="AC581" s="9"/>
      <c r="AD581" s="9"/>
      <c r="AE581" s="10"/>
      <c r="AF581" s="10"/>
      <c r="AG581" s="10"/>
      <c r="AH581" s="10"/>
      <c r="AI581" s="10"/>
      <c r="AJ581" s="10"/>
      <c r="AK581" s="10"/>
      <c r="AL581" s="10"/>
      <c r="AM581" s="10"/>
    </row>
    <row r="582" spans="1:39" ht="15.75" customHeight="1" x14ac:dyDescent="0.2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212"/>
      <c r="Q582" s="9"/>
      <c r="R582" s="9"/>
      <c r="S582" s="9"/>
      <c r="T582" s="9"/>
      <c r="U582" s="9"/>
      <c r="V582" s="9"/>
      <c r="W582" s="9"/>
      <c r="X582" s="9"/>
      <c r="Y582" s="9"/>
      <c r="Z582" s="9"/>
      <c r="AA582" s="9"/>
      <c r="AB582" s="212"/>
      <c r="AC582" s="9"/>
      <c r="AD582" s="9"/>
      <c r="AE582" s="10"/>
      <c r="AF582" s="10"/>
      <c r="AG582" s="10"/>
      <c r="AH582" s="10"/>
      <c r="AI582" s="10"/>
      <c r="AJ582" s="10"/>
      <c r="AK582" s="10"/>
      <c r="AL582" s="10"/>
      <c r="AM582" s="10"/>
    </row>
    <row r="583" spans="1:39" ht="15.75" customHeight="1" x14ac:dyDescent="0.2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212"/>
      <c r="Q583" s="9"/>
      <c r="R583" s="9"/>
      <c r="S583" s="9"/>
      <c r="T583" s="9"/>
      <c r="U583" s="9"/>
      <c r="V583" s="9"/>
      <c r="W583" s="9"/>
      <c r="X583" s="9"/>
      <c r="Y583" s="9"/>
      <c r="Z583" s="9"/>
      <c r="AA583" s="9"/>
      <c r="AB583" s="212"/>
      <c r="AC583" s="9"/>
      <c r="AD583" s="9"/>
      <c r="AE583" s="10"/>
      <c r="AF583" s="10"/>
      <c r="AG583" s="10"/>
      <c r="AH583" s="10"/>
      <c r="AI583" s="10"/>
      <c r="AJ583" s="10"/>
      <c r="AK583" s="10"/>
      <c r="AL583" s="10"/>
      <c r="AM583" s="10"/>
    </row>
    <row r="584" spans="1:39" ht="15.75" customHeight="1" x14ac:dyDescent="0.2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212"/>
      <c r="Q584" s="9"/>
      <c r="R584" s="9"/>
      <c r="S584" s="9"/>
      <c r="T584" s="9"/>
      <c r="U584" s="9"/>
      <c r="V584" s="9"/>
      <c r="W584" s="9"/>
      <c r="X584" s="9"/>
      <c r="Y584" s="9"/>
      <c r="Z584" s="9"/>
      <c r="AA584" s="9"/>
      <c r="AB584" s="212"/>
      <c r="AC584" s="9"/>
      <c r="AD584" s="9"/>
      <c r="AE584" s="10"/>
      <c r="AF584" s="10"/>
      <c r="AG584" s="10"/>
      <c r="AH584" s="10"/>
      <c r="AI584" s="10"/>
      <c r="AJ584" s="10"/>
      <c r="AK584" s="10"/>
      <c r="AL584" s="10"/>
      <c r="AM584" s="10"/>
    </row>
    <row r="585" spans="1:39" ht="15.75" customHeight="1" x14ac:dyDescent="0.2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212"/>
      <c r="Q585" s="9"/>
      <c r="R585" s="9"/>
      <c r="S585" s="9"/>
      <c r="T585" s="9"/>
      <c r="U585" s="9"/>
      <c r="V585" s="9"/>
      <c r="W585" s="9"/>
      <c r="X585" s="9"/>
      <c r="Y585" s="9"/>
      <c r="Z585" s="9"/>
      <c r="AA585" s="9"/>
      <c r="AB585" s="212"/>
      <c r="AC585" s="9"/>
      <c r="AD585" s="9"/>
      <c r="AE585" s="10"/>
      <c r="AF585" s="10"/>
      <c r="AG585" s="10"/>
      <c r="AH585" s="10"/>
      <c r="AI585" s="10"/>
      <c r="AJ585" s="10"/>
      <c r="AK585" s="10"/>
      <c r="AL585" s="10"/>
      <c r="AM585" s="10"/>
    </row>
    <row r="586" spans="1:39" ht="15.75" customHeight="1" x14ac:dyDescent="0.2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212"/>
      <c r="Q586" s="9"/>
      <c r="R586" s="9"/>
      <c r="S586" s="9"/>
      <c r="T586" s="9"/>
      <c r="U586" s="9"/>
      <c r="V586" s="9"/>
      <c r="W586" s="9"/>
      <c r="X586" s="9"/>
      <c r="Y586" s="9"/>
      <c r="Z586" s="9"/>
      <c r="AA586" s="9"/>
      <c r="AB586" s="212"/>
      <c r="AC586" s="9"/>
      <c r="AD586" s="9"/>
      <c r="AE586" s="10"/>
      <c r="AF586" s="10"/>
      <c r="AG586" s="10"/>
      <c r="AH586" s="10"/>
      <c r="AI586" s="10"/>
      <c r="AJ586" s="10"/>
      <c r="AK586" s="10"/>
      <c r="AL586" s="10"/>
      <c r="AM586" s="10"/>
    </row>
    <row r="587" spans="1:39" ht="15.75" customHeight="1" x14ac:dyDescent="0.2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212"/>
      <c r="Q587" s="9"/>
      <c r="R587" s="9"/>
      <c r="S587" s="9"/>
      <c r="T587" s="9"/>
      <c r="U587" s="9"/>
      <c r="V587" s="9"/>
      <c r="W587" s="9"/>
      <c r="X587" s="9"/>
      <c r="Y587" s="9"/>
      <c r="Z587" s="9"/>
      <c r="AA587" s="9"/>
      <c r="AB587" s="212"/>
      <c r="AC587" s="9"/>
      <c r="AD587" s="9"/>
      <c r="AE587" s="10"/>
      <c r="AF587" s="10"/>
      <c r="AG587" s="10"/>
      <c r="AH587" s="10"/>
      <c r="AI587" s="10"/>
      <c r="AJ587" s="10"/>
      <c r="AK587" s="10"/>
      <c r="AL587" s="10"/>
      <c r="AM587" s="10"/>
    </row>
    <row r="588" spans="1:39" ht="15.75" customHeight="1" x14ac:dyDescent="0.2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212"/>
      <c r="Q588" s="9"/>
      <c r="R588" s="9"/>
      <c r="S588" s="9"/>
      <c r="T588" s="9"/>
      <c r="U588" s="9"/>
      <c r="V588" s="9"/>
      <c r="W588" s="9"/>
      <c r="X588" s="9"/>
      <c r="Y588" s="9"/>
      <c r="Z588" s="9"/>
      <c r="AA588" s="9"/>
      <c r="AB588" s="212"/>
      <c r="AC588" s="9"/>
      <c r="AD588" s="9"/>
      <c r="AE588" s="10"/>
      <c r="AF588" s="10"/>
      <c r="AG588" s="10"/>
      <c r="AH588" s="10"/>
      <c r="AI588" s="10"/>
      <c r="AJ588" s="10"/>
      <c r="AK588" s="10"/>
      <c r="AL588" s="10"/>
      <c r="AM588" s="10"/>
    </row>
    <row r="589" spans="1:39" ht="15.75" customHeight="1" x14ac:dyDescent="0.2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212"/>
      <c r="Q589" s="9"/>
      <c r="R589" s="9"/>
      <c r="S589" s="9"/>
      <c r="T589" s="9"/>
      <c r="U589" s="9"/>
      <c r="V589" s="9"/>
      <c r="W589" s="9"/>
      <c r="X589" s="9"/>
      <c r="Y589" s="9"/>
      <c r="Z589" s="9"/>
      <c r="AA589" s="9"/>
      <c r="AB589" s="212"/>
      <c r="AC589" s="9"/>
      <c r="AD589" s="9"/>
      <c r="AE589" s="10"/>
      <c r="AF589" s="10"/>
      <c r="AG589" s="10"/>
      <c r="AH589" s="10"/>
      <c r="AI589" s="10"/>
      <c r="AJ589" s="10"/>
      <c r="AK589" s="10"/>
      <c r="AL589" s="10"/>
      <c r="AM589" s="10"/>
    </row>
    <row r="590" spans="1:39" ht="15.75" customHeight="1" x14ac:dyDescent="0.2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212"/>
      <c r="Q590" s="9"/>
      <c r="R590" s="9"/>
      <c r="S590" s="9"/>
      <c r="T590" s="9"/>
      <c r="U590" s="9"/>
      <c r="V590" s="9"/>
      <c r="W590" s="9"/>
      <c r="X590" s="9"/>
      <c r="Y590" s="9"/>
      <c r="Z590" s="9"/>
      <c r="AA590" s="9"/>
      <c r="AB590" s="212"/>
      <c r="AC590" s="9"/>
      <c r="AD590" s="9"/>
      <c r="AE590" s="10"/>
      <c r="AF590" s="10"/>
      <c r="AG590" s="10"/>
      <c r="AH590" s="10"/>
      <c r="AI590" s="10"/>
      <c r="AJ590" s="10"/>
      <c r="AK590" s="10"/>
      <c r="AL590" s="10"/>
      <c r="AM590" s="10"/>
    </row>
    <row r="591" spans="1:39" ht="15.75" customHeight="1" x14ac:dyDescent="0.2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212"/>
      <c r="Q591" s="9"/>
      <c r="R591" s="9"/>
      <c r="S591" s="9"/>
      <c r="T591" s="9"/>
      <c r="U591" s="9"/>
      <c r="V591" s="9"/>
      <c r="W591" s="9"/>
      <c r="X591" s="9"/>
      <c r="Y591" s="9"/>
      <c r="Z591" s="9"/>
      <c r="AA591" s="9"/>
      <c r="AB591" s="212"/>
      <c r="AC591" s="9"/>
      <c r="AD591" s="9"/>
      <c r="AE591" s="10"/>
      <c r="AF591" s="10"/>
      <c r="AG591" s="10"/>
      <c r="AH591" s="10"/>
      <c r="AI591" s="10"/>
      <c r="AJ591" s="10"/>
      <c r="AK591" s="10"/>
      <c r="AL591" s="10"/>
      <c r="AM591" s="10"/>
    </row>
    <row r="592" spans="1:39" ht="15.75" customHeight="1" x14ac:dyDescent="0.2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212"/>
      <c r="Q592" s="9"/>
      <c r="R592" s="9"/>
      <c r="S592" s="9"/>
      <c r="T592" s="9"/>
      <c r="U592" s="9"/>
      <c r="V592" s="9"/>
      <c r="W592" s="9"/>
      <c r="X592" s="9"/>
      <c r="Y592" s="9"/>
      <c r="Z592" s="9"/>
      <c r="AA592" s="9"/>
      <c r="AB592" s="212"/>
      <c r="AC592" s="9"/>
      <c r="AD592" s="9"/>
      <c r="AE592" s="10"/>
      <c r="AF592" s="10"/>
      <c r="AG592" s="10"/>
      <c r="AH592" s="10"/>
      <c r="AI592" s="10"/>
      <c r="AJ592" s="10"/>
      <c r="AK592" s="10"/>
      <c r="AL592" s="10"/>
      <c r="AM592" s="10"/>
    </row>
    <row r="593" spans="1:39" ht="15.75" customHeight="1" x14ac:dyDescent="0.2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212"/>
      <c r="Q593" s="9"/>
      <c r="R593" s="9"/>
      <c r="S593" s="9"/>
      <c r="T593" s="9"/>
      <c r="U593" s="9"/>
      <c r="V593" s="9"/>
      <c r="W593" s="9"/>
      <c r="X593" s="9"/>
      <c r="Y593" s="9"/>
      <c r="Z593" s="9"/>
      <c r="AA593" s="9"/>
      <c r="AB593" s="212"/>
      <c r="AC593" s="9"/>
      <c r="AD593" s="9"/>
      <c r="AE593" s="10"/>
      <c r="AF593" s="10"/>
      <c r="AG593" s="10"/>
      <c r="AH593" s="10"/>
      <c r="AI593" s="10"/>
      <c r="AJ593" s="10"/>
      <c r="AK593" s="10"/>
      <c r="AL593" s="10"/>
      <c r="AM593" s="10"/>
    </row>
    <row r="594" spans="1:39" ht="15.75" customHeight="1" x14ac:dyDescent="0.2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212"/>
      <c r="Q594" s="9"/>
      <c r="R594" s="9"/>
      <c r="S594" s="9"/>
      <c r="T594" s="9"/>
      <c r="U594" s="9"/>
      <c r="V594" s="9"/>
      <c r="W594" s="9"/>
      <c r="X594" s="9"/>
      <c r="Y594" s="9"/>
      <c r="Z594" s="9"/>
      <c r="AA594" s="9"/>
      <c r="AB594" s="212"/>
      <c r="AC594" s="9"/>
      <c r="AD594" s="9"/>
      <c r="AE594" s="10"/>
      <c r="AF594" s="10"/>
      <c r="AG594" s="10"/>
      <c r="AH594" s="10"/>
      <c r="AI594" s="10"/>
      <c r="AJ594" s="10"/>
      <c r="AK594" s="10"/>
      <c r="AL594" s="10"/>
      <c r="AM594" s="10"/>
    </row>
    <row r="595" spans="1:39" ht="15.75" customHeight="1" x14ac:dyDescent="0.2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212"/>
      <c r="Q595" s="9"/>
      <c r="R595" s="9"/>
      <c r="S595" s="9"/>
      <c r="T595" s="9"/>
      <c r="U595" s="9"/>
      <c r="V595" s="9"/>
      <c r="W595" s="9"/>
      <c r="X595" s="9"/>
      <c r="Y595" s="9"/>
      <c r="Z595" s="9"/>
      <c r="AA595" s="9"/>
      <c r="AB595" s="212"/>
      <c r="AC595" s="9"/>
      <c r="AD595" s="9"/>
      <c r="AE595" s="10"/>
      <c r="AF595" s="10"/>
      <c r="AG595" s="10"/>
      <c r="AH595" s="10"/>
      <c r="AI595" s="10"/>
      <c r="AJ595" s="10"/>
      <c r="AK595" s="10"/>
      <c r="AL595" s="10"/>
      <c r="AM595" s="10"/>
    </row>
    <row r="596" spans="1:39" ht="15.75" customHeight="1" x14ac:dyDescent="0.2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212"/>
      <c r="Q596" s="9"/>
      <c r="R596" s="9"/>
      <c r="S596" s="9"/>
      <c r="T596" s="9"/>
      <c r="U596" s="9"/>
      <c r="V596" s="9"/>
      <c r="W596" s="9"/>
      <c r="X596" s="9"/>
      <c r="Y596" s="9"/>
      <c r="Z596" s="9"/>
      <c r="AA596" s="9"/>
      <c r="AB596" s="212"/>
      <c r="AC596" s="9"/>
      <c r="AD596" s="9"/>
      <c r="AE596" s="10"/>
      <c r="AF596" s="10"/>
      <c r="AG596" s="10"/>
      <c r="AH596" s="10"/>
      <c r="AI596" s="10"/>
      <c r="AJ596" s="10"/>
      <c r="AK596" s="10"/>
      <c r="AL596" s="10"/>
      <c r="AM596" s="10"/>
    </row>
    <row r="597" spans="1:39" ht="15.75" customHeight="1" x14ac:dyDescent="0.2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212"/>
      <c r="Q597" s="9"/>
      <c r="R597" s="9"/>
      <c r="S597" s="9"/>
      <c r="T597" s="9"/>
      <c r="U597" s="9"/>
      <c r="V597" s="9"/>
      <c r="W597" s="9"/>
      <c r="X597" s="9"/>
      <c r="Y597" s="9"/>
      <c r="Z597" s="9"/>
      <c r="AA597" s="9"/>
      <c r="AB597" s="212"/>
      <c r="AC597" s="9"/>
      <c r="AD597" s="9"/>
      <c r="AE597" s="10"/>
      <c r="AF597" s="10"/>
      <c r="AG597" s="10"/>
      <c r="AH597" s="10"/>
      <c r="AI597" s="10"/>
      <c r="AJ597" s="10"/>
      <c r="AK597" s="10"/>
      <c r="AL597" s="10"/>
      <c r="AM597" s="10"/>
    </row>
    <row r="598" spans="1:39" ht="15.75" customHeight="1" x14ac:dyDescent="0.2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212"/>
      <c r="Q598" s="9"/>
      <c r="R598" s="9"/>
      <c r="S598" s="9"/>
      <c r="T598" s="9"/>
      <c r="U598" s="9"/>
      <c r="V598" s="9"/>
      <c r="W598" s="9"/>
      <c r="X598" s="9"/>
      <c r="Y598" s="9"/>
      <c r="Z598" s="9"/>
      <c r="AA598" s="9"/>
      <c r="AB598" s="212"/>
      <c r="AC598" s="9"/>
      <c r="AD598" s="9"/>
      <c r="AE598" s="10"/>
      <c r="AF598" s="10"/>
      <c r="AG598" s="10"/>
      <c r="AH598" s="10"/>
      <c r="AI598" s="10"/>
      <c r="AJ598" s="10"/>
      <c r="AK598" s="10"/>
      <c r="AL598" s="10"/>
      <c r="AM598" s="10"/>
    </row>
    <row r="599" spans="1:39" ht="15.75" customHeight="1" x14ac:dyDescent="0.2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212"/>
      <c r="Q599" s="9"/>
      <c r="R599" s="9"/>
      <c r="S599" s="9"/>
      <c r="T599" s="9"/>
      <c r="U599" s="9"/>
      <c r="V599" s="9"/>
      <c r="W599" s="9"/>
      <c r="X599" s="9"/>
      <c r="Y599" s="9"/>
      <c r="Z599" s="9"/>
      <c r="AA599" s="9"/>
      <c r="AB599" s="212"/>
      <c r="AC599" s="9"/>
      <c r="AD599" s="9"/>
      <c r="AE599" s="10"/>
      <c r="AF599" s="10"/>
      <c r="AG599" s="10"/>
      <c r="AH599" s="10"/>
      <c r="AI599" s="10"/>
      <c r="AJ599" s="10"/>
      <c r="AK599" s="10"/>
      <c r="AL599" s="10"/>
      <c r="AM599" s="10"/>
    </row>
    <row r="600" spans="1:39" ht="15.75" customHeight="1" x14ac:dyDescent="0.2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212"/>
      <c r="Q600" s="9"/>
      <c r="R600" s="9"/>
      <c r="S600" s="9"/>
      <c r="T600" s="9"/>
      <c r="U600" s="9"/>
      <c r="V600" s="9"/>
      <c r="W600" s="9"/>
      <c r="X600" s="9"/>
      <c r="Y600" s="9"/>
      <c r="Z600" s="9"/>
      <c r="AA600" s="9"/>
      <c r="AB600" s="212"/>
      <c r="AC600" s="9"/>
      <c r="AD600" s="9"/>
      <c r="AE600" s="10"/>
      <c r="AF600" s="10"/>
      <c r="AG600" s="10"/>
      <c r="AH600" s="10"/>
      <c r="AI600" s="10"/>
      <c r="AJ600" s="10"/>
      <c r="AK600" s="10"/>
      <c r="AL600" s="10"/>
      <c r="AM600" s="10"/>
    </row>
    <row r="601" spans="1:39" ht="15.75" customHeight="1" x14ac:dyDescent="0.2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212"/>
      <c r="Q601" s="9"/>
      <c r="R601" s="9"/>
      <c r="S601" s="9"/>
      <c r="T601" s="9"/>
      <c r="U601" s="9"/>
      <c r="V601" s="9"/>
      <c r="W601" s="9"/>
      <c r="X601" s="9"/>
      <c r="Y601" s="9"/>
      <c r="Z601" s="9"/>
      <c r="AA601" s="9"/>
      <c r="AB601" s="212"/>
      <c r="AC601" s="9"/>
      <c r="AD601" s="9"/>
      <c r="AE601" s="10"/>
      <c r="AF601" s="10"/>
      <c r="AG601" s="10"/>
      <c r="AH601" s="10"/>
      <c r="AI601" s="10"/>
      <c r="AJ601" s="10"/>
      <c r="AK601" s="10"/>
      <c r="AL601" s="10"/>
      <c r="AM601" s="10"/>
    </row>
    <row r="602" spans="1:39" ht="15.75" customHeight="1" x14ac:dyDescent="0.2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212"/>
      <c r="Q602" s="9"/>
      <c r="R602" s="9"/>
      <c r="S602" s="9"/>
      <c r="T602" s="9"/>
      <c r="U602" s="9"/>
      <c r="V602" s="9"/>
      <c r="W602" s="9"/>
      <c r="X602" s="9"/>
      <c r="Y602" s="9"/>
      <c r="Z602" s="9"/>
      <c r="AA602" s="9"/>
      <c r="AB602" s="212"/>
      <c r="AC602" s="9"/>
      <c r="AD602" s="9"/>
      <c r="AE602" s="10"/>
      <c r="AF602" s="10"/>
      <c r="AG602" s="10"/>
      <c r="AH602" s="10"/>
      <c r="AI602" s="10"/>
      <c r="AJ602" s="10"/>
      <c r="AK602" s="10"/>
      <c r="AL602" s="10"/>
      <c r="AM602" s="10"/>
    </row>
    <row r="603" spans="1:39" ht="15.75" customHeight="1" x14ac:dyDescent="0.2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212"/>
      <c r="Q603" s="9"/>
      <c r="R603" s="9"/>
      <c r="S603" s="9"/>
      <c r="T603" s="9"/>
      <c r="U603" s="9"/>
      <c r="V603" s="9"/>
      <c r="W603" s="9"/>
      <c r="X603" s="9"/>
      <c r="Y603" s="9"/>
      <c r="Z603" s="9"/>
      <c r="AA603" s="9"/>
      <c r="AB603" s="212"/>
      <c r="AC603" s="9"/>
      <c r="AD603" s="9"/>
      <c r="AE603" s="10"/>
      <c r="AF603" s="10"/>
      <c r="AG603" s="10"/>
      <c r="AH603" s="10"/>
      <c r="AI603" s="10"/>
      <c r="AJ603" s="10"/>
      <c r="AK603" s="10"/>
      <c r="AL603" s="10"/>
      <c r="AM603" s="10"/>
    </row>
    <row r="604" spans="1:39" ht="15.75" customHeight="1" x14ac:dyDescent="0.2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212"/>
      <c r="Q604" s="9"/>
      <c r="R604" s="9"/>
      <c r="S604" s="9"/>
      <c r="T604" s="9"/>
      <c r="U604" s="9"/>
      <c r="V604" s="9"/>
      <c r="W604" s="9"/>
      <c r="X604" s="9"/>
      <c r="Y604" s="9"/>
      <c r="Z604" s="9"/>
      <c r="AA604" s="9"/>
      <c r="AB604" s="212"/>
      <c r="AC604" s="9"/>
      <c r="AD604" s="9"/>
      <c r="AE604" s="10"/>
      <c r="AF604" s="10"/>
      <c r="AG604" s="10"/>
      <c r="AH604" s="10"/>
      <c r="AI604" s="10"/>
      <c r="AJ604" s="10"/>
      <c r="AK604" s="10"/>
      <c r="AL604" s="10"/>
      <c r="AM604" s="10"/>
    </row>
    <row r="605" spans="1:39" ht="15.75" customHeight="1" x14ac:dyDescent="0.2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212"/>
      <c r="Q605" s="9"/>
      <c r="R605" s="9"/>
      <c r="S605" s="9"/>
      <c r="T605" s="9"/>
      <c r="U605" s="9"/>
      <c r="V605" s="9"/>
      <c r="W605" s="9"/>
      <c r="X605" s="9"/>
      <c r="Y605" s="9"/>
      <c r="Z605" s="9"/>
      <c r="AA605" s="9"/>
      <c r="AB605" s="212"/>
      <c r="AC605" s="9"/>
      <c r="AD605" s="9"/>
      <c r="AE605" s="10"/>
      <c r="AF605" s="10"/>
      <c r="AG605" s="10"/>
      <c r="AH605" s="10"/>
      <c r="AI605" s="10"/>
      <c r="AJ605" s="10"/>
      <c r="AK605" s="10"/>
      <c r="AL605" s="10"/>
      <c r="AM605" s="10"/>
    </row>
    <row r="606" spans="1:39" ht="15.75" customHeight="1" x14ac:dyDescent="0.2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212"/>
      <c r="Q606" s="9"/>
      <c r="R606" s="9"/>
      <c r="S606" s="9"/>
      <c r="T606" s="9"/>
      <c r="U606" s="9"/>
      <c r="V606" s="9"/>
      <c r="W606" s="9"/>
      <c r="X606" s="9"/>
      <c r="Y606" s="9"/>
      <c r="Z606" s="9"/>
      <c r="AA606" s="9"/>
      <c r="AB606" s="212"/>
      <c r="AC606" s="9"/>
      <c r="AD606" s="9"/>
      <c r="AE606" s="10"/>
      <c r="AF606" s="10"/>
      <c r="AG606" s="10"/>
      <c r="AH606" s="10"/>
      <c r="AI606" s="10"/>
      <c r="AJ606" s="10"/>
      <c r="AK606" s="10"/>
      <c r="AL606" s="10"/>
      <c r="AM606" s="10"/>
    </row>
    <row r="607" spans="1:39" ht="15.75" customHeight="1" x14ac:dyDescent="0.2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212"/>
      <c r="Q607" s="9"/>
      <c r="R607" s="9"/>
      <c r="S607" s="9"/>
      <c r="T607" s="9"/>
      <c r="U607" s="9"/>
      <c r="V607" s="9"/>
      <c r="W607" s="9"/>
      <c r="X607" s="9"/>
      <c r="Y607" s="9"/>
      <c r="Z607" s="9"/>
      <c r="AA607" s="9"/>
      <c r="AB607" s="212"/>
      <c r="AC607" s="9"/>
      <c r="AD607" s="9"/>
      <c r="AE607" s="10"/>
      <c r="AF607" s="10"/>
      <c r="AG607" s="10"/>
      <c r="AH607" s="10"/>
      <c r="AI607" s="10"/>
      <c r="AJ607" s="10"/>
      <c r="AK607" s="10"/>
      <c r="AL607" s="10"/>
      <c r="AM607" s="10"/>
    </row>
    <row r="608" spans="1:39" ht="15.75" customHeight="1" x14ac:dyDescent="0.2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212"/>
      <c r="Q608" s="9"/>
      <c r="R608" s="9"/>
      <c r="S608" s="9"/>
      <c r="T608" s="9"/>
      <c r="U608" s="9"/>
      <c r="V608" s="9"/>
      <c r="W608" s="9"/>
      <c r="X608" s="9"/>
      <c r="Y608" s="9"/>
      <c r="Z608" s="9"/>
      <c r="AA608" s="9"/>
      <c r="AB608" s="212"/>
      <c r="AC608" s="9"/>
      <c r="AD608" s="9"/>
      <c r="AE608" s="10"/>
      <c r="AF608" s="10"/>
      <c r="AG608" s="10"/>
      <c r="AH608" s="10"/>
      <c r="AI608" s="10"/>
      <c r="AJ608" s="10"/>
      <c r="AK608" s="10"/>
      <c r="AL608" s="10"/>
      <c r="AM608" s="10"/>
    </row>
    <row r="609" spans="1:39" ht="15.75" customHeight="1" x14ac:dyDescent="0.2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212"/>
      <c r="Q609" s="9"/>
      <c r="R609" s="9"/>
      <c r="S609" s="9"/>
      <c r="T609" s="9"/>
      <c r="U609" s="9"/>
      <c r="V609" s="9"/>
      <c r="W609" s="9"/>
      <c r="X609" s="9"/>
      <c r="Y609" s="9"/>
      <c r="Z609" s="9"/>
      <c r="AA609" s="9"/>
      <c r="AB609" s="212"/>
      <c r="AC609" s="9"/>
      <c r="AD609" s="9"/>
      <c r="AE609" s="10"/>
      <c r="AF609" s="10"/>
      <c r="AG609" s="10"/>
      <c r="AH609" s="10"/>
      <c r="AI609" s="10"/>
      <c r="AJ609" s="10"/>
      <c r="AK609" s="10"/>
      <c r="AL609" s="10"/>
      <c r="AM609" s="10"/>
    </row>
    <row r="610" spans="1:39" ht="15.75" customHeight="1" x14ac:dyDescent="0.2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212"/>
      <c r="Q610" s="9"/>
      <c r="R610" s="9"/>
      <c r="S610" s="9"/>
      <c r="T610" s="9"/>
      <c r="U610" s="9"/>
      <c r="V610" s="9"/>
      <c r="W610" s="9"/>
      <c r="X610" s="9"/>
      <c r="Y610" s="9"/>
      <c r="Z610" s="9"/>
      <c r="AA610" s="9"/>
      <c r="AB610" s="212"/>
      <c r="AC610" s="9"/>
      <c r="AD610" s="9"/>
      <c r="AE610" s="10"/>
      <c r="AF610" s="10"/>
      <c r="AG610" s="10"/>
      <c r="AH610" s="10"/>
      <c r="AI610" s="10"/>
      <c r="AJ610" s="10"/>
      <c r="AK610" s="10"/>
      <c r="AL610" s="10"/>
      <c r="AM610" s="10"/>
    </row>
    <row r="611" spans="1:39" ht="15.75" customHeight="1" x14ac:dyDescent="0.2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212"/>
      <c r="Q611" s="9"/>
      <c r="R611" s="9"/>
      <c r="S611" s="9"/>
      <c r="T611" s="9"/>
      <c r="U611" s="9"/>
      <c r="V611" s="9"/>
      <c r="W611" s="9"/>
      <c r="X611" s="9"/>
      <c r="Y611" s="9"/>
      <c r="Z611" s="9"/>
      <c r="AA611" s="9"/>
      <c r="AB611" s="212"/>
      <c r="AC611" s="9"/>
      <c r="AD611" s="9"/>
      <c r="AE611" s="10"/>
      <c r="AF611" s="10"/>
      <c r="AG611" s="10"/>
      <c r="AH611" s="10"/>
      <c r="AI611" s="10"/>
      <c r="AJ611" s="10"/>
      <c r="AK611" s="10"/>
      <c r="AL611" s="10"/>
      <c r="AM611" s="10"/>
    </row>
    <row r="612" spans="1:39" ht="15.75" customHeight="1" x14ac:dyDescent="0.2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212"/>
      <c r="Q612" s="9"/>
      <c r="R612" s="9"/>
      <c r="S612" s="9"/>
      <c r="T612" s="9"/>
      <c r="U612" s="9"/>
      <c r="V612" s="9"/>
      <c r="W612" s="9"/>
      <c r="X612" s="9"/>
      <c r="Y612" s="9"/>
      <c r="Z612" s="9"/>
      <c r="AA612" s="9"/>
      <c r="AB612" s="212"/>
      <c r="AC612" s="9"/>
      <c r="AD612" s="9"/>
      <c r="AE612" s="10"/>
      <c r="AF612" s="10"/>
      <c r="AG612" s="10"/>
      <c r="AH612" s="10"/>
      <c r="AI612" s="10"/>
      <c r="AJ612" s="10"/>
      <c r="AK612" s="10"/>
      <c r="AL612" s="10"/>
      <c r="AM612" s="10"/>
    </row>
    <row r="613" spans="1:39" ht="15.75" customHeight="1" x14ac:dyDescent="0.2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212"/>
      <c r="Q613" s="9"/>
      <c r="R613" s="9"/>
      <c r="S613" s="9"/>
      <c r="T613" s="9"/>
      <c r="U613" s="9"/>
      <c r="V613" s="9"/>
      <c r="W613" s="9"/>
      <c r="X613" s="9"/>
      <c r="Y613" s="9"/>
      <c r="Z613" s="9"/>
      <c r="AA613" s="9"/>
      <c r="AB613" s="212"/>
      <c r="AC613" s="9"/>
      <c r="AD613" s="9"/>
      <c r="AE613" s="10"/>
      <c r="AF613" s="10"/>
      <c r="AG613" s="10"/>
      <c r="AH613" s="10"/>
      <c r="AI613" s="10"/>
      <c r="AJ613" s="10"/>
      <c r="AK613" s="10"/>
      <c r="AL613" s="10"/>
      <c r="AM613" s="10"/>
    </row>
    <row r="614" spans="1:39" ht="15.75" customHeight="1" x14ac:dyDescent="0.2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212"/>
      <c r="Q614" s="9"/>
      <c r="R614" s="9"/>
      <c r="S614" s="9"/>
      <c r="T614" s="9"/>
      <c r="U614" s="9"/>
      <c r="V614" s="9"/>
      <c r="W614" s="9"/>
      <c r="X614" s="9"/>
      <c r="Y614" s="9"/>
      <c r="Z614" s="9"/>
      <c r="AA614" s="9"/>
      <c r="AB614" s="212"/>
      <c r="AC614" s="9"/>
      <c r="AD614" s="9"/>
      <c r="AE614" s="10"/>
      <c r="AF614" s="10"/>
      <c r="AG614" s="10"/>
      <c r="AH614" s="10"/>
      <c r="AI614" s="10"/>
      <c r="AJ614" s="10"/>
      <c r="AK614" s="10"/>
      <c r="AL614" s="10"/>
      <c r="AM614" s="10"/>
    </row>
    <row r="615" spans="1:39" ht="15.75" customHeight="1" x14ac:dyDescent="0.2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212"/>
      <c r="Q615" s="9"/>
      <c r="R615" s="9"/>
      <c r="S615" s="9"/>
      <c r="T615" s="9"/>
      <c r="U615" s="9"/>
      <c r="V615" s="9"/>
      <c r="W615" s="9"/>
      <c r="X615" s="9"/>
      <c r="Y615" s="9"/>
      <c r="Z615" s="9"/>
      <c r="AA615" s="9"/>
      <c r="AB615" s="212"/>
      <c r="AC615" s="9"/>
      <c r="AD615" s="9"/>
      <c r="AE615" s="10"/>
      <c r="AF615" s="10"/>
      <c r="AG615" s="10"/>
      <c r="AH615" s="10"/>
      <c r="AI615" s="10"/>
      <c r="AJ615" s="10"/>
      <c r="AK615" s="10"/>
      <c r="AL615" s="10"/>
      <c r="AM615" s="10"/>
    </row>
    <row r="616" spans="1:39" ht="15.75" customHeight="1" x14ac:dyDescent="0.2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212"/>
      <c r="Q616" s="9"/>
      <c r="R616" s="9"/>
      <c r="S616" s="9"/>
      <c r="T616" s="9"/>
      <c r="U616" s="9"/>
      <c r="V616" s="9"/>
      <c r="W616" s="9"/>
      <c r="X616" s="9"/>
      <c r="Y616" s="9"/>
      <c r="Z616" s="9"/>
      <c r="AA616" s="9"/>
      <c r="AB616" s="212"/>
      <c r="AC616" s="9"/>
      <c r="AD616" s="9"/>
      <c r="AE616" s="10"/>
      <c r="AF616" s="10"/>
      <c r="AG616" s="10"/>
      <c r="AH616" s="10"/>
      <c r="AI616" s="10"/>
      <c r="AJ616" s="10"/>
      <c r="AK616" s="10"/>
      <c r="AL616" s="10"/>
      <c r="AM616" s="10"/>
    </row>
    <row r="617" spans="1:39" ht="15.75" customHeight="1" x14ac:dyDescent="0.2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212"/>
      <c r="Q617" s="9"/>
      <c r="R617" s="9"/>
      <c r="S617" s="9"/>
      <c r="T617" s="9"/>
      <c r="U617" s="9"/>
      <c r="V617" s="9"/>
      <c r="W617" s="9"/>
      <c r="X617" s="9"/>
      <c r="Y617" s="9"/>
      <c r="Z617" s="9"/>
      <c r="AA617" s="9"/>
      <c r="AB617" s="212"/>
      <c r="AC617" s="9"/>
      <c r="AD617" s="9"/>
      <c r="AE617" s="10"/>
      <c r="AF617" s="10"/>
      <c r="AG617" s="10"/>
      <c r="AH617" s="10"/>
      <c r="AI617" s="10"/>
      <c r="AJ617" s="10"/>
      <c r="AK617" s="10"/>
      <c r="AL617" s="10"/>
      <c r="AM617" s="10"/>
    </row>
    <row r="618" spans="1:39" ht="15.75" customHeight="1" x14ac:dyDescent="0.2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212"/>
      <c r="Q618" s="9"/>
      <c r="R618" s="9"/>
      <c r="S618" s="9"/>
      <c r="T618" s="9"/>
      <c r="U618" s="9"/>
      <c r="V618" s="9"/>
      <c r="W618" s="9"/>
      <c r="X618" s="9"/>
      <c r="Y618" s="9"/>
      <c r="Z618" s="9"/>
      <c r="AA618" s="9"/>
      <c r="AB618" s="212"/>
      <c r="AC618" s="9"/>
      <c r="AD618" s="9"/>
      <c r="AE618" s="10"/>
      <c r="AF618" s="10"/>
      <c r="AG618" s="10"/>
      <c r="AH618" s="10"/>
      <c r="AI618" s="10"/>
      <c r="AJ618" s="10"/>
      <c r="AK618" s="10"/>
      <c r="AL618" s="10"/>
      <c r="AM618" s="10"/>
    </row>
    <row r="619" spans="1:39" ht="15.75" customHeight="1" x14ac:dyDescent="0.2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212"/>
      <c r="Q619" s="9"/>
      <c r="R619" s="9"/>
      <c r="S619" s="9"/>
      <c r="T619" s="9"/>
      <c r="U619" s="9"/>
      <c r="V619" s="9"/>
      <c r="W619" s="9"/>
      <c r="X619" s="9"/>
      <c r="Y619" s="9"/>
      <c r="Z619" s="9"/>
      <c r="AA619" s="9"/>
      <c r="AB619" s="212"/>
      <c r="AC619" s="9"/>
      <c r="AD619" s="9"/>
      <c r="AE619" s="10"/>
      <c r="AF619" s="10"/>
      <c r="AG619" s="10"/>
      <c r="AH619" s="10"/>
      <c r="AI619" s="10"/>
      <c r="AJ619" s="10"/>
      <c r="AK619" s="10"/>
      <c r="AL619" s="10"/>
      <c r="AM619" s="10"/>
    </row>
    <row r="620" spans="1:39" ht="15.75" customHeight="1" x14ac:dyDescent="0.2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212"/>
      <c r="Q620" s="9"/>
      <c r="R620" s="9"/>
      <c r="S620" s="9"/>
      <c r="T620" s="9"/>
      <c r="U620" s="9"/>
      <c r="V620" s="9"/>
      <c r="W620" s="9"/>
      <c r="X620" s="9"/>
      <c r="Y620" s="9"/>
      <c r="Z620" s="9"/>
      <c r="AA620" s="9"/>
      <c r="AB620" s="212"/>
      <c r="AC620" s="9"/>
      <c r="AD620" s="9"/>
      <c r="AE620" s="10"/>
      <c r="AF620" s="10"/>
      <c r="AG620" s="10"/>
      <c r="AH620" s="10"/>
      <c r="AI620" s="10"/>
      <c r="AJ620" s="10"/>
      <c r="AK620" s="10"/>
      <c r="AL620" s="10"/>
      <c r="AM620" s="10"/>
    </row>
    <row r="621" spans="1:39" ht="15.75" customHeight="1" x14ac:dyDescent="0.2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212"/>
      <c r="Q621" s="9"/>
      <c r="R621" s="9"/>
      <c r="S621" s="9"/>
      <c r="T621" s="9"/>
      <c r="U621" s="9"/>
      <c r="V621" s="9"/>
      <c r="W621" s="9"/>
      <c r="X621" s="9"/>
      <c r="Y621" s="9"/>
      <c r="Z621" s="9"/>
      <c r="AA621" s="9"/>
      <c r="AB621" s="212"/>
      <c r="AC621" s="9"/>
      <c r="AD621" s="9"/>
      <c r="AE621" s="10"/>
      <c r="AF621" s="10"/>
      <c r="AG621" s="10"/>
      <c r="AH621" s="10"/>
      <c r="AI621" s="10"/>
      <c r="AJ621" s="10"/>
      <c r="AK621" s="10"/>
      <c r="AL621" s="10"/>
      <c r="AM621" s="10"/>
    </row>
    <row r="622" spans="1:39" ht="15.75" customHeight="1" x14ac:dyDescent="0.2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212"/>
      <c r="Q622" s="9"/>
      <c r="R622" s="9"/>
      <c r="S622" s="9"/>
      <c r="T622" s="9"/>
      <c r="U622" s="9"/>
      <c r="V622" s="9"/>
      <c r="W622" s="9"/>
      <c r="X622" s="9"/>
      <c r="Y622" s="9"/>
      <c r="Z622" s="9"/>
      <c r="AA622" s="9"/>
      <c r="AB622" s="212"/>
      <c r="AC622" s="9"/>
      <c r="AD622" s="9"/>
      <c r="AE622" s="10"/>
      <c r="AF622" s="10"/>
      <c r="AG622" s="10"/>
      <c r="AH622" s="10"/>
      <c r="AI622" s="10"/>
      <c r="AJ622" s="10"/>
      <c r="AK622" s="10"/>
      <c r="AL622" s="10"/>
      <c r="AM622" s="10"/>
    </row>
    <row r="623" spans="1:39" ht="15.75" customHeight="1" x14ac:dyDescent="0.2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212"/>
      <c r="Q623" s="9"/>
      <c r="R623" s="9"/>
      <c r="S623" s="9"/>
      <c r="T623" s="9"/>
      <c r="U623" s="9"/>
      <c r="V623" s="9"/>
      <c r="W623" s="9"/>
      <c r="X623" s="9"/>
      <c r="Y623" s="9"/>
      <c r="Z623" s="9"/>
      <c r="AA623" s="9"/>
      <c r="AB623" s="212"/>
      <c r="AC623" s="9"/>
      <c r="AD623" s="9"/>
      <c r="AE623" s="10"/>
      <c r="AF623" s="10"/>
      <c r="AG623" s="10"/>
      <c r="AH623" s="10"/>
      <c r="AI623" s="10"/>
      <c r="AJ623" s="10"/>
      <c r="AK623" s="10"/>
      <c r="AL623" s="10"/>
      <c r="AM623" s="10"/>
    </row>
    <row r="624" spans="1:39" ht="15.75" customHeight="1" x14ac:dyDescent="0.2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212"/>
      <c r="Q624" s="9"/>
      <c r="R624" s="9"/>
      <c r="S624" s="9"/>
      <c r="T624" s="9"/>
      <c r="U624" s="9"/>
      <c r="V624" s="9"/>
      <c r="W624" s="9"/>
      <c r="X624" s="9"/>
      <c r="Y624" s="9"/>
      <c r="Z624" s="9"/>
      <c r="AA624" s="9"/>
      <c r="AB624" s="212"/>
      <c r="AC624" s="9"/>
      <c r="AD624" s="9"/>
      <c r="AE624" s="10"/>
      <c r="AF624" s="10"/>
      <c r="AG624" s="10"/>
      <c r="AH624" s="10"/>
      <c r="AI624" s="10"/>
      <c r="AJ624" s="10"/>
      <c r="AK624" s="10"/>
      <c r="AL624" s="10"/>
      <c r="AM624" s="10"/>
    </row>
    <row r="625" spans="1:39" ht="15.75" customHeight="1" x14ac:dyDescent="0.2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212"/>
      <c r="Q625" s="9"/>
      <c r="R625" s="9"/>
      <c r="S625" s="9"/>
      <c r="T625" s="9"/>
      <c r="U625" s="9"/>
      <c r="V625" s="9"/>
      <c r="W625" s="9"/>
      <c r="X625" s="9"/>
      <c r="Y625" s="9"/>
      <c r="Z625" s="9"/>
      <c r="AA625" s="9"/>
      <c r="AB625" s="212"/>
      <c r="AC625" s="9"/>
      <c r="AD625" s="9"/>
      <c r="AE625" s="10"/>
      <c r="AF625" s="10"/>
      <c r="AG625" s="10"/>
      <c r="AH625" s="10"/>
      <c r="AI625" s="10"/>
      <c r="AJ625" s="10"/>
      <c r="AK625" s="10"/>
      <c r="AL625" s="10"/>
      <c r="AM625" s="10"/>
    </row>
    <row r="626" spans="1:39" ht="15.75" customHeight="1" x14ac:dyDescent="0.2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212"/>
      <c r="Q626" s="9"/>
      <c r="R626" s="9"/>
      <c r="S626" s="9"/>
      <c r="T626" s="9"/>
      <c r="U626" s="9"/>
      <c r="V626" s="9"/>
      <c r="W626" s="9"/>
      <c r="X626" s="9"/>
      <c r="Y626" s="9"/>
      <c r="Z626" s="9"/>
      <c r="AA626" s="9"/>
      <c r="AB626" s="212"/>
      <c r="AC626" s="9"/>
      <c r="AD626" s="9"/>
      <c r="AE626" s="10"/>
      <c r="AF626" s="10"/>
      <c r="AG626" s="10"/>
      <c r="AH626" s="10"/>
      <c r="AI626" s="10"/>
      <c r="AJ626" s="10"/>
      <c r="AK626" s="10"/>
      <c r="AL626" s="10"/>
      <c r="AM626" s="10"/>
    </row>
    <row r="627" spans="1:39" ht="15.75" customHeight="1" x14ac:dyDescent="0.2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212"/>
      <c r="Q627" s="9"/>
      <c r="R627" s="9"/>
      <c r="S627" s="9"/>
      <c r="T627" s="9"/>
      <c r="U627" s="9"/>
      <c r="V627" s="9"/>
      <c r="W627" s="9"/>
      <c r="X627" s="9"/>
      <c r="Y627" s="9"/>
      <c r="Z627" s="9"/>
      <c r="AA627" s="9"/>
      <c r="AB627" s="212"/>
      <c r="AC627" s="9"/>
      <c r="AD627" s="9"/>
      <c r="AE627" s="10"/>
      <c r="AF627" s="10"/>
      <c r="AG627" s="10"/>
      <c r="AH627" s="10"/>
      <c r="AI627" s="10"/>
      <c r="AJ627" s="10"/>
      <c r="AK627" s="10"/>
      <c r="AL627" s="10"/>
      <c r="AM627" s="10"/>
    </row>
    <row r="628" spans="1:39" ht="15.75" customHeight="1" x14ac:dyDescent="0.2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212"/>
      <c r="Q628" s="9"/>
      <c r="R628" s="9"/>
      <c r="S628" s="9"/>
      <c r="T628" s="9"/>
      <c r="U628" s="9"/>
      <c r="V628" s="9"/>
      <c r="W628" s="9"/>
      <c r="X628" s="9"/>
      <c r="Y628" s="9"/>
      <c r="Z628" s="9"/>
      <c r="AA628" s="9"/>
      <c r="AB628" s="212"/>
      <c r="AC628" s="9"/>
      <c r="AD628" s="9"/>
      <c r="AE628" s="10"/>
      <c r="AF628" s="10"/>
      <c r="AG628" s="10"/>
      <c r="AH628" s="10"/>
      <c r="AI628" s="10"/>
      <c r="AJ628" s="10"/>
      <c r="AK628" s="10"/>
      <c r="AL628" s="10"/>
      <c r="AM628" s="10"/>
    </row>
    <row r="629" spans="1:39" ht="15.75" customHeight="1" x14ac:dyDescent="0.2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212"/>
      <c r="Q629" s="9"/>
      <c r="R629" s="9"/>
      <c r="S629" s="9"/>
      <c r="T629" s="9"/>
      <c r="U629" s="9"/>
      <c r="V629" s="9"/>
      <c r="W629" s="9"/>
      <c r="X629" s="9"/>
      <c r="Y629" s="9"/>
      <c r="Z629" s="9"/>
      <c r="AA629" s="9"/>
      <c r="AB629" s="212"/>
      <c r="AC629" s="9"/>
      <c r="AD629" s="9"/>
      <c r="AE629" s="10"/>
      <c r="AF629" s="10"/>
      <c r="AG629" s="10"/>
      <c r="AH629" s="10"/>
      <c r="AI629" s="10"/>
      <c r="AJ629" s="10"/>
      <c r="AK629" s="10"/>
      <c r="AL629" s="10"/>
      <c r="AM629" s="10"/>
    </row>
    <row r="630" spans="1:39" ht="15.75" customHeight="1" x14ac:dyDescent="0.2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212"/>
      <c r="Q630" s="9"/>
      <c r="R630" s="9"/>
      <c r="S630" s="9"/>
      <c r="T630" s="9"/>
      <c r="U630" s="9"/>
      <c r="V630" s="9"/>
      <c r="W630" s="9"/>
      <c r="X630" s="9"/>
      <c r="Y630" s="9"/>
      <c r="Z630" s="9"/>
      <c r="AA630" s="9"/>
      <c r="AB630" s="212"/>
      <c r="AC630" s="9"/>
      <c r="AD630" s="9"/>
      <c r="AE630" s="10"/>
      <c r="AF630" s="10"/>
      <c r="AG630" s="10"/>
      <c r="AH630" s="10"/>
      <c r="AI630" s="10"/>
      <c r="AJ630" s="10"/>
      <c r="AK630" s="10"/>
      <c r="AL630" s="10"/>
      <c r="AM630" s="10"/>
    </row>
    <row r="631" spans="1:39" ht="15.75" customHeight="1" x14ac:dyDescent="0.2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212"/>
      <c r="Q631" s="9"/>
      <c r="R631" s="9"/>
      <c r="S631" s="9"/>
      <c r="T631" s="9"/>
      <c r="U631" s="9"/>
      <c r="V631" s="9"/>
      <c r="W631" s="9"/>
      <c r="X631" s="9"/>
      <c r="Y631" s="9"/>
      <c r="Z631" s="9"/>
      <c r="AA631" s="9"/>
      <c r="AB631" s="212"/>
      <c r="AC631" s="9"/>
      <c r="AD631" s="9"/>
      <c r="AE631" s="10"/>
      <c r="AF631" s="10"/>
      <c r="AG631" s="10"/>
      <c r="AH631" s="10"/>
      <c r="AI631" s="10"/>
      <c r="AJ631" s="10"/>
      <c r="AK631" s="10"/>
      <c r="AL631" s="10"/>
      <c r="AM631" s="10"/>
    </row>
    <row r="632" spans="1:39" ht="15.75" customHeight="1" x14ac:dyDescent="0.2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212"/>
      <c r="Q632" s="9"/>
      <c r="R632" s="9"/>
      <c r="S632" s="9"/>
      <c r="T632" s="9"/>
      <c r="U632" s="9"/>
      <c r="V632" s="9"/>
      <c r="W632" s="9"/>
      <c r="X632" s="9"/>
      <c r="Y632" s="9"/>
      <c r="Z632" s="9"/>
      <c r="AA632" s="9"/>
      <c r="AB632" s="212"/>
      <c r="AC632" s="9"/>
      <c r="AD632" s="9"/>
      <c r="AE632" s="10"/>
      <c r="AF632" s="10"/>
      <c r="AG632" s="10"/>
      <c r="AH632" s="10"/>
      <c r="AI632" s="10"/>
      <c r="AJ632" s="10"/>
      <c r="AK632" s="10"/>
      <c r="AL632" s="10"/>
      <c r="AM632" s="10"/>
    </row>
    <row r="633" spans="1:39" ht="15.75" customHeight="1" x14ac:dyDescent="0.2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212"/>
      <c r="Q633" s="9"/>
      <c r="R633" s="9"/>
      <c r="S633" s="9"/>
      <c r="T633" s="9"/>
      <c r="U633" s="9"/>
      <c r="V633" s="9"/>
      <c r="W633" s="9"/>
      <c r="X633" s="9"/>
      <c r="Y633" s="9"/>
      <c r="Z633" s="9"/>
      <c r="AA633" s="9"/>
      <c r="AB633" s="212"/>
      <c r="AC633" s="9"/>
      <c r="AD633" s="9"/>
      <c r="AE633" s="10"/>
      <c r="AF633" s="10"/>
      <c r="AG633" s="10"/>
      <c r="AH633" s="10"/>
      <c r="AI633" s="10"/>
      <c r="AJ633" s="10"/>
      <c r="AK633" s="10"/>
      <c r="AL633" s="10"/>
      <c r="AM633" s="10"/>
    </row>
    <row r="634" spans="1:39" ht="15.75" customHeight="1" x14ac:dyDescent="0.2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212"/>
      <c r="Q634" s="9"/>
      <c r="R634" s="9"/>
      <c r="S634" s="9"/>
      <c r="T634" s="9"/>
      <c r="U634" s="9"/>
      <c r="V634" s="9"/>
      <c r="W634" s="9"/>
      <c r="X634" s="9"/>
      <c r="Y634" s="9"/>
      <c r="Z634" s="9"/>
      <c r="AA634" s="9"/>
      <c r="AB634" s="212"/>
      <c r="AC634" s="9"/>
      <c r="AD634" s="9"/>
      <c r="AE634" s="10"/>
      <c r="AF634" s="10"/>
      <c r="AG634" s="10"/>
      <c r="AH634" s="10"/>
      <c r="AI634" s="10"/>
      <c r="AJ634" s="10"/>
      <c r="AK634" s="10"/>
      <c r="AL634" s="10"/>
      <c r="AM634" s="10"/>
    </row>
    <row r="635" spans="1:39" ht="15.75" customHeight="1" x14ac:dyDescent="0.2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212"/>
      <c r="Q635" s="9"/>
      <c r="R635" s="9"/>
      <c r="S635" s="9"/>
      <c r="T635" s="9"/>
      <c r="U635" s="9"/>
      <c r="V635" s="9"/>
      <c r="W635" s="9"/>
      <c r="X635" s="9"/>
      <c r="Y635" s="9"/>
      <c r="Z635" s="9"/>
      <c r="AA635" s="9"/>
      <c r="AB635" s="212"/>
      <c r="AC635" s="9"/>
      <c r="AD635" s="9"/>
      <c r="AE635" s="10"/>
      <c r="AF635" s="10"/>
      <c r="AG635" s="10"/>
      <c r="AH635" s="10"/>
      <c r="AI635" s="10"/>
      <c r="AJ635" s="10"/>
      <c r="AK635" s="10"/>
      <c r="AL635" s="10"/>
      <c r="AM635" s="10"/>
    </row>
    <row r="636" spans="1:39" ht="15.75" customHeight="1" x14ac:dyDescent="0.2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212"/>
      <c r="Q636" s="9"/>
      <c r="R636" s="9"/>
      <c r="S636" s="9"/>
      <c r="T636" s="9"/>
      <c r="U636" s="9"/>
      <c r="V636" s="9"/>
      <c r="W636" s="9"/>
      <c r="X636" s="9"/>
      <c r="Y636" s="9"/>
      <c r="Z636" s="9"/>
      <c r="AA636" s="9"/>
      <c r="AB636" s="212"/>
      <c r="AC636" s="9"/>
      <c r="AD636" s="9"/>
      <c r="AE636" s="10"/>
      <c r="AF636" s="10"/>
      <c r="AG636" s="10"/>
      <c r="AH636" s="10"/>
      <c r="AI636" s="10"/>
      <c r="AJ636" s="10"/>
      <c r="AK636" s="10"/>
      <c r="AL636" s="10"/>
      <c r="AM636" s="10"/>
    </row>
    <row r="637" spans="1:39" ht="15.75" customHeight="1" x14ac:dyDescent="0.2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212"/>
      <c r="Q637" s="9"/>
      <c r="R637" s="9"/>
      <c r="S637" s="9"/>
      <c r="T637" s="9"/>
      <c r="U637" s="9"/>
      <c r="V637" s="9"/>
      <c r="W637" s="9"/>
      <c r="X637" s="9"/>
      <c r="Y637" s="9"/>
      <c r="Z637" s="9"/>
      <c r="AA637" s="9"/>
      <c r="AB637" s="212"/>
      <c r="AC637" s="9"/>
      <c r="AD637" s="9"/>
      <c r="AE637" s="10"/>
      <c r="AF637" s="10"/>
      <c r="AG637" s="10"/>
      <c r="AH637" s="10"/>
      <c r="AI637" s="10"/>
      <c r="AJ637" s="10"/>
      <c r="AK637" s="10"/>
      <c r="AL637" s="10"/>
      <c r="AM637" s="10"/>
    </row>
    <row r="638" spans="1:39" ht="15.75" customHeight="1" x14ac:dyDescent="0.2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212"/>
      <c r="Q638" s="9"/>
      <c r="R638" s="9"/>
      <c r="S638" s="9"/>
      <c r="T638" s="9"/>
      <c r="U638" s="9"/>
      <c r="V638" s="9"/>
      <c r="W638" s="9"/>
      <c r="X638" s="9"/>
      <c r="Y638" s="9"/>
      <c r="Z638" s="9"/>
      <c r="AA638" s="9"/>
      <c r="AB638" s="212"/>
      <c r="AC638" s="9"/>
      <c r="AD638" s="9"/>
      <c r="AE638" s="10"/>
      <c r="AF638" s="10"/>
      <c r="AG638" s="10"/>
      <c r="AH638" s="10"/>
      <c r="AI638" s="10"/>
      <c r="AJ638" s="10"/>
      <c r="AK638" s="10"/>
      <c r="AL638" s="10"/>
      <c r="AM638" s="10"/>
    </row>
    <row r="639" spans="1:39" ht="15.75" customHeight="1" x14ac:dyDescent="0.2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212"/>
      <c r="Q639" s="9"/>
      <c r="R639" s="9"/>
      <c r="S639" s="9"/>
      <c r="T639" s="9"/>
      <c r="U639" s="9"/>
      <c r="V639" s="9"/>
      <c r="W639" s="9"/>
      <c r="X639" s="9"/>
      <c r="Y639" s="9"/>
      <c r="Z639" s="9"/>
      <c r="AA639" s="9"/>
      <c r="AB639" s="212"/>
      <c r="AC639" s="9"/>
      <c r="AD639" s="9"/>
      <c r="AE639" s="10"/>
      <c r="AF639" s="10"/>
      <c r="AG639" s="10"/>
      <c r="AH639" s="10"/>
      <c r="AI639" s="10"/>
      <c r="AJ639" s="10"/>
      <c r="AK639" s="10"/>
      <c r="AL639" s="10"/>
      <c r="AM639" s="10"/>
    </row>
    <row r="640" spans="1:39" ht="15.75" customHeight="1" x14ac:dyDescent="0.2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212"/>
      <c r="Q640" s="9"/>
      <c r="R640" s="9"/>
      <c r="S640" s="9"/>
      <c r="T640" s="9"/>
      <c r="U640" s="9"/>
      <c r="V640" s="9"/>
      <c r="W640" s="9"/>
      <c r="X640" s="9"/>
      <c r="Y640" s="9"/>
      <c r="Z640" s="9"/>
      <c r="AA640" s="9"/>
      <c r="AB640" s="212"/>
      <c r="AC640" s="9"/>
      <c r="AD640" s="9"/>
      <c r="AE640" s="10"/>
      <c r="AF640" s="10"/>
      <c r="AG640" s="10"/>
      <c r="AH640" s="10"/>
      <c r="AI640" s="10"/>
      <c r="AJ640" s="10"/>
      <c r="AK640" s="10"/>
      <c r="AL640" s="10"/>
      <c r="AM640" s="10"/>
    </row>
    <row r="641" spans="1:39" ht="15.75" customHeight="1" x14ac:dyDescent="0.2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212"/>
      <c r="Q641" s="9"/>
      <c r="R641" s="9"/>
      <c r="S641" s="9"/>
      <c r="T641" s="9"/>
      <c r="U641" s="9"/>
      <c r="V641" s="9"/>
      <c r="W641" s="9"/>
      <c r="X641" s="9"/>
      <c r="Y641" s="9"/>
      <c r="Z641" s="9"/>
      <c r="AA641" s="9"/>
      <c r="AB641" s="212"/>
      <c r="AC641" s="9"/>
      <c r="AD641" s="9"/>
      <c r="AE641" s="10"/>
      <c r="AF641" s="10"/>
      <c r="AG641" s="10"/>
      <c r="AH641" s="10"/>
      <c r="AI641" s="10"/>
      <c r="AJ641" s="10"/>
      <c r="AK641" s="10"/>
      <c r="AL641" s="10"/>
      <c r="AM641" s="10"/>
    </row>
    <row r="642" spans="1:39" ht="15.75" customHeight="1" x14ac:dyDescent="0.2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212"/>
      <c r="Q642" s="9"/>
      <c r="R642" s="9"/>
      <c r="S642" s="9"/>
      <c r="T642" s="9"/>
      <c r="U642" s="9"/>
      <c r="V642" s="9"/>
      <c r="W642" s="9"/>
      <c r="X642" s="9"/>
      <c r="Y642" s="9"/>
      <c r="Z642" s="9"/>
      <c r="AA642" s="9"/>
      <c r="AB642" s="212"/>
      <c r="AC642" s="9"/>
      <c r="AD642" s="9"/>
      <c r="AE642" s="10"/>
      <c r="AF642" s="10"/>
      <c r="AG642" s="10"/>
      <c r="AH642" s="10"/>
      <c r="AI642" s="10"/>
      <c r="AJ642" s="10"/>
      <c r="AK642" s="10"/>
      <c r="AL642" s="10"/>
      <c r="AM642" s="10"/>
    </row>
    <row r="643" spans="1:39" ht="15.75" customHeight="1" x14ac:dyDescent="0.2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212"/>
      <c r="Q643" s="9"/>
      <c r="R643" s="9"/>
      <c r="S643" s="9"/>
      <c r="T643" s="9"/>
      <c r="U643" s="9"/>
      <c r="V643" s="9"/>
      <c r="W643" s="9"/>
      <c r="X643" s="9"/>
      <c r="Y643" s="9"/>
      <c r="Z643" s="9"/>
      <c r="AA643" s="9"/>
      <c r="AB643" s="212"/>
      <c r="AC643" s="9"/>
      <c r="AD643" s="9"/>
      <c r="AE643" s="10"/>
      <c r="AF643" s="10"/>
      <c r="AG643" s="10"/>
      <c r="AH643" s="10"/>
      <c r="AI643" s="10"/>
      <c r="AJ643" s="10"/>
      <c r="AK643" s="10"/>
      <c r="AL643" s="10"/>
      <c r="AM643" s="10"/>
    </row>
    <row r="644" spans="1:39" ht="15.75" customHeight="1" x14ac:dyDescent="0.2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212"/>
      <c r="Q644" s="9"/>
      <c r="R644" s="9"/>
      <c r="S644" s="9"/>
      <c r="T644" s="9"/>
      <c r="U644" s="9"/>
      <c r="V644" s="9"/>
      <c r="W644" s="9"/>
      <c r="X644" s="9"/>
      <c r="Y644" s="9"/>
      <c r="Z644" s="9"/>
      <c r="AA644" s="9"/>
      <c r="AB644" s="212"/>
      <c r="AC644" s="9"/>
      <c r="AD644" s="9"/>
      <c r="AE644" s="10"/>
      <c r="AF644" s="10"/>
      <c r="AG644" s="10"/>
      <c r="AH644" s="10"/>
      <c r="AI644" s="10"/>
      <c r="AJ644" s="10"/>
      <c r="AK644" s="10"/>
      <c r="AL644" s="10"/>
      <c r="AM644" s="10"/>
    </row>
    <row r="645" spans="1:39" ht="15.75" customHeight="1" x14ac:dyDescent="0.2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212"/>
      <c r="Q645" s="9"/>
      <c r="R645" s="9"/>
      <c r="S645" s="9"/>
      <c r="T645" s="9"/>
      <c r="U645" s="9"/>
      <c r="V645" s="9"/>
      <c r="W645" s="9"/>
      <c r="X645" s="9"/>
      <c r="Y645" s="9"/>
      <c r="Z645" s="9"/>
      <c r="AA645" s="9"/>
      <c r="AB645" s="212"/>
      <c r="AC645" s="9"/>
      <c r="AD645" s="9"/>
      <c r="AE645" s="10"/>
      <c r="AF645" s="10"/>
      <c r="AG645" s="10"/>
      <c r="AH645" s="10"/>
      <c r="AI645" s="10"/>
      <c r="AJ645" s="10"/>
      <c r="AK645" s="10"/>
      <c r="AL645" s="10"/>
      <c r="AM645" s="10"/>
    </row>
    <row r="646" spans="1:39" ht="15.75" customHeight="1" x14ac:dyDescent="0.2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212"/>
      <c r="Q646" s="9"/>
      <c r="R646" s="9"/>
      <c r="S646" s="9"/>
      <c r="T646" s="9"/>
      <c r="U646" s="9"/>
      <c r="V646" s="9"/>
      <c r="W646" s="9"/>
      <c r="X646" s="9"/>
      <c r="Y646" s="9"/>
      <c r="Z646" s="9"/>
      <c r="AA646" s="9"/>
      <c r="AB646" s="212"/>
      <c r="AC646" s="9"/>
      <c r="AD646" s="9"/>
      <c r="AE646" s="10"/>
      <c r="AF646" s="10"/>
      <c r="AG646" s="10"/>
      <c r="AH646" s="10"/>
      <c r="AI646" s="10"/>
      <c r="AJ646" s="10"/>
      <c r="AK646" s="10"/>
      <c r="AL646" s="10"/>
      <c r="AM646" s="10"/>
    </row>
    <row r="647" spans="1:39" ht="15.75" customHeight="1" x14ac:dyDescent="0.2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212"/>
      <c r="Q647" s="9"/>
      <c r="R647" s="9"/>
      <c r="S647" s="9"/>
      <c r="T647" s="9"/>
      <c r="U647" s="9"/>
      <c r="V647" s="9"/>
      <c r="W647" s="9"/>
      <c r="X647" s="9"/>
      <c r="Y647" s="9"/>
      <c r="Z647" s="9"/>
      <c r="AA647" s="9"/>
      <c r="AB647" s="212"/>
      <c r="AC647" s="9"/>
      <c r="AD647" s="9"/>
      <c r="AE647" s="10"/>
      <c r="AF647" s="10"/>
      <c r="AG647" s="10"/>
      <c r="AH647" s="10"/>
      <c r="AI647" s="10"/>
      <c r="AJ647" s="10"/>
      <c r="AK647" s="10"/>
      <c r="AL647" s="10"/>
      <c r="AM647" s="10"/>
    </row>
    <row r="648" spans="1:39" ht="15.75" customHeight="1" x14ac:dyDescent="0.2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212"/>
      <c r="Q648" s="9"/>
      <c r="R648" s="9"/>
      <c r="S648" s="9"/>
      <c r="T648" s="9"/>
      <c r="U648" s="9"/>
      <c r="V648" s="9"/>
      <c r="W648" s="9"/>
      <c r="X648" s="9"/>
      <c r="Y648" s="9"/>
      <c r="Z648" s="9"/>
      <c r="AA648" s="9"/>
      <c r="AB648" s="212"/>
      <c r="AC648" s="9"/>
      <c r="AD648" s="9"/>
      <c r="AE648" s="10"/>
      <c r="AF648" s="10"/>
      <c r="AG648" s="10"/>
      <c r="AH648" s="10"/>
      <c r="AI648" s="10"/>
      <c r="AJ648" s="10"/>
      <c r="AK648" s="10"/>
      <c r="AL648" s="10"/>
      <c r="AM648" s="10"/>
    </row>
    <row r="649" spans="1:39" ht="15.75" customHeight="1" x14ac:dyDescent="0.2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212"/>
      <c r="Q649" s="9"/>
      <c r="R649" s="9"/>
      <c r="S649" s="9"/>
      <c r="T649" s="9"/>
      <c r="U649" s="9"/>
      <c r="V649" s="9"/>
      <c r="W649" s="9"/>
      <c r="X649" s="9"/>
      <c r="Y649" s="9"/>
      <c r="Z649" s="9"/>
      <c r="AA649" s="9"/>
      <c r="AB649" s="212"/>
      <c r="AC649" s="9"/>
      <c r="AD649" s="9"/>
      <c r="AE649" s="10"/>
      <c r="AF649" s="10"/>
      <c r="AG649" s="10"/>
      <c r="AH649" s="10"/>
      <c r="AI649" s="10"/>
      <c r="AJ649" s="10"/>
      <c r="AK649" s="10"/>
      <c r="AL649" s="10"/>
      <c r="AM649" s="10"/>
    </row>
    <row r="650" spans="1:39" ht="15.75" customHeight="1" x14ac:dyDescent="0.2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212"/>
      <c r="Q650" s="9"/>
      <c r="R650" s="9"/>
      <c r="S650" s="9"/>
      <c r="T650" s="9"/>
      <c r="U650" s="9"/>
      <c r="V650" s="9"/>
      <c r="W650" s="9"/>
      <c r="X650" s="9"/>
      <c r="Y650" s="9"/>
      <c r="Z650" s="9"/>
      <c r="AA650" s="9"/>
      <c r="AB650" s="212"/>
      <c r="AC650" s="9"/>
      <c r="AD650" s="9"/>
      <c r="AE650" s="10"/>
      <c r="AF650" s="10"/>
      <c r="AG650" s="10"/>
      <c r="AH650" s="10"/>
      <c r="AI650" s="10"/>
      <c r="AJ650" s="10"/>
      <c r="AK650" s="10"/>
      <c r="AL650" s="10"/>
      <c r="AM650" s="10"/>
    </row>
    <row r="651" spans="1:39" ht="15.75" customHeight="1" x14ac:dyDescent="0.2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212"/>
      <c r="Q651" s="9"/>
      <c r="R651" s="9"/>
      <c r="S651" s="9"/>
      <c r="T651" s="9"/>
      <c r="U651" s="9"/>
      <c r="V651" s="9"/>
      <c r="W651" s="9"/>
      <c r="X651" s="9"/>
      <c r="Y651" s="9"/>
      <c r="Z651" s="9"/>
      <c r="AA651" s="9"/>
      <c r="AB651" s="212"/>
      <c r="AC651" s="9"/>
      <c r="AD651" s="9"/>
      <c r="AE651" s="10"/>
      <c r="AF651" s="10"/>
      <c r="AG651" s="10"/>
      <c r="AH651" s="10"/>
      <c r="AI651" s="10"/>
      <c r="AJ651" s="10"/>
      <c r="AK651" s="10"/>
      <c r="AL651" s="10"/>
      <c r="AM651" s="10"/>
    </row>
    <row r="652" spans="1:39" ht="15.75" customHeight="1" x14ac:dyDescent="0.2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212"/>
      <c r="Q652" s="9"/>
      <c r="R652" s="9"/>
      <c r="S652" s="9"/>
      <c r="T652" s="9"/>
      <c r="U652" s="9"/>
      <c r="V652" s="9"/>
      <c r="W652" s="9"/>
      <c r="X652" s="9"/>
      <c r="Y652" s="9"/>
      <c r="Z652" s="9"/>
      <c r="AA652" s="9"/>
      <c r="AB652" s="212"/>
      <c r="AC652" s="9"/>
      <c r="AD652" s="9"/>
      <c r="AE652" s="10"/>
      <c r="AF652" s="10"/>
      <c r="AG652" s="10"/>
      <c r="AH652" s="10"/>
      <c r="AI652" s="10"/>
      <c r="AJ652" s="10"/>
      <c r="AK652" s="10"/>
      <c r="AL652" s="10"/>
      <c r="AM652" s="10"/>
    </row>
    <row r="653" spans="1:39" ht="15.75" customHeight="1" x14ac:dyDescent="0.2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212"/>
      <c r="Q653" s="9"/>
      <c r="R653" s="9"/>
      <c r="S653" s="9"/>
      <c r="T653" s="9"/>
      <c r="U653" s="9"/>
      <c r="V653" s="9"/>
      <c r="W653" s="9"/>
      <c r="X653" s="9"/>
      <c r="Y653" s="9"/>
      <c r="Z653" s="9"/>
      <c r="AA653" s="9"/>
      <c r="AB653" s="212"/>
      <c r="AC653" s="9"/>
      <c r="AD653" s="9"/>
      <c r="AE653" s="10"/>
      <c r="AF653" s="10"/>
      <c r="AG653" s="10"/>
      <c r="AH653" s="10"/>
      <c r="AI653" s="10"/>
      <c r="AJ653" s="10"/>
      <c r="AK653" s="10"/>
      <c r="AL653" s="10"/>
      <c r="AM653" s="10"/>
    </row>
    <row r="654" spans="1:39" ht="15.75" customHeight="1" x14ac:dyDescent="0.2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212"/>
      <c r="Q654" s="9"/>
      <c r="R654" s="9"/>
      <c r="S654" s="9"/>
      <c r="T654" s="9"/>
      <c r="U654" s="9"/>
      <c r="V654" s="9"/>
      <c r="W654" s="9"/>
      <c r="X654" s="9"/>
      <c r="Y654" s="9"/>
      <c r="Z654" s="9"/>
      <c r="AA654" s="9"/>
      <c r="AB654" s="212"/>
      <c r="AC654" s="9"/>
      <c r="AD654" s="9"/>
      <c r="AE654" s="10"/>
      <c r="AF654" s="10"/>
      <c r="AG654" s="10"/>
      <c r="AH654" s="10"/>
      <c r="AI654" s="10"/>
      <c r="AJ654" s="10"/>
      <c r="AK654" s="10"/>
      <c r="AL654" s="10"/>
      <c r="AM654" s="10"/>
    </row>
    <row r="655" spans="1:39" ht="15.75" customHeight="1" x14ac:dyDescent="0.2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212"/>
      <c r="Q655" s="9"/>
      <c r="R655" s="9"/>
      <c r="S655" s="9"/>
      <c r="T655" s="9"/>
      <c r="U655" s="9"/>
      <c r="V655" s="9"/>
      <c r="W655" s="9"/>
      <c r="X655" s="9"/>
      <c r="Y655" s="9"/>
      <c r="Z655" s="9"/>
      <c r="AA655" s="9"/>
      <c r="AB655" s="212"/>
      <c r="AC655" s="9"/>
      <c r="AD655" s="9"/>
      <c r="AE655" s="10"/>
      <c r="AF655" s="10"/>
      <c r="AG655" s="10"/>
      <c r="AH655" s="10"/>
      <c r="AI655" s="10"/>
      <c r="AJ655" s="10"/>
      <c r="AK655" s="10"/>
      <c r="AL655" s="10"/>
      <c r="AM655" s="10"/>
    </row>
    <row r="656" spans="1:39" ht="15.75" customHeight="1" x14ac:dyDescent="0.2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212"/>
      <c r="Q656" s="9"/>
      <c r="R656" s="9"/>
      <c r="S656" s="9"/>
      <c r="T656" s="9"/>
      <c r="U656" s="9"/>
      <c r="V656" s="9"/>
      <c r="W656" s="9"/>
      <c r="X656" s="9"/>
      <c r="Y656" s="9"/>
      <c r="Z656" s="9"/>
      <c r="AA656" s="9"/>
      <c r="AB656" s="212"/>
      <c r="AC656" s="9"/>
      <c r="AD656" s="9"/>
      <c r="AE656" s="10"/>
      <c r="AF656" s="10"/>
      <c r="AG656" s="10"/>
      <c r="AH656" s="10"/>
      <c r="AI656" s="10"/>
      <c r="AJ656" s="10"/>
      <c r="AK656" s="10"/>
      <c r="AL656" s="10"/>
      <c r="AM656" s="10"/>
    </row>
    <row r="657" spans="1:39" ht="15.75" customHeight="1" x14ac:dyDescent="0.2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212"/>
      <c r="Q657" s="9"/>
      <c r="R657" s="9"/>
      <c r="S657" s="9"/>
      <c r="T657" s="9"/>
      <c r="U657" s="9"/>
      <c r="V657" s="9"/>
      <c r="W657" s="9"/>
      <c r="X657" s="9"/>
      <c r="Y657" s="9"/>
      <c r="Z657" s="9"/>
      <c r="AA657" s="9"/>
      <c r="AB657" s="212"/>
      <c r="AC657" s="9"/>
      <c r="AD657" s="9"/>
      <c r="AE657" s="10"/>
      <c r="AF657" s="10"/>
      <c r="AG657" s="10"/>
      <c r="AH657" s="10"/>
      <c r="AI657" s="10"/>
      <c r="AJ657" s="10"/>
      <c r="AK657" s="10"/>
      <c r="AL657" s="10"/>
      <c r="AM657" s="10"/>
    </row>
    <row r="658" spans="1:39" ht="15.75" customHeight="1" x14ac:dyDescent="0.2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212"/>
      <c r="Q658" s="9"/>
      <c r="R658" s="9"/>
      <c r="S658" s="9"/>
      <c r="T658" s="9"/>
      <c r="U658" s="9"/>
      <c r="V658" s="9"/>
      <c r="W658" s="9"/>
      <c r="X658" s="9"/>
      <c r="Y658" s="9"/>
      <c r="Z658" s="9"/>
      <c r="AA658" s="9"/>
      <c r="AB658" s="212"/>
      <c r="AC658" s="9"/>
      <c r="AD658" s="9"/>
      <c r="AE658" s="10"/>
      <c r="AF658" s="10"/>
      <c r="AG658" s="10"/>
      <c r="AH658" s="10"/>
      <c r="AI658" s="10"/>
      <c r="AJ658" s="10"/>
      <c r="AK658" s="10"/>
      <c r="AL658" s="10"/>
      <c r="AM658" s="10"/>
    </row>
    <row r="659" spans="1:39" ht="15.75" customHeight="1" x14ac:dyDescent="0.2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212"/>
      <c r="Q659" s="9"/>
      <c r="R659" s="9"/>
      <c r="S659" s="9"/>
      <c r="T659" s="9"/>
      <c r="U659" s="9"/>
      <c r="V659" s="9"/>
      <c r="W659" s="9"/>
      <c r="X659" s="9"/>
      <c r="Y659" s="9"/>
      <c r="Z659" s="9"/>
      <c r="AA659" s="9"/>
      <c r="AB659" s="212"/>
      <c r="AC659" s="9"/>
      <c r="AD659" s="9"/>
      <c r="AE659" s="10"/>
      <c r="AF659" s="10"/>
      <c r="AG659" s="10"/>
      <c r="AH659" s="10"/>
      <c r="AI659" s="10"/>
      <c r="AJ659" s="10"/>
      <c r="AK659" s="10"/>
      <c r="AL659" s="10"/>
      <c r="AM659" s="10"/>
    </row>
    <row r="660" spans="1:39" ht="15.75" customHeight="1" x14ac:dyDescent="0.2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212"/>
      <c r="Q660" s="9"/>
      <c r="R660" s="9"/>
      <c r="S660" s="9"/>
      <c r="T660" s="9"/>
      <c r="U660" s="9"/>
      <c r="V660" s="9"/>
      <c r="W660" s="9"/>
      <c r="X660" s="9"/>
      <c r="Y660" s="9"/>
      <c r="Z660" s="9"/>
      <c r="AA660" s="9"/>
      <c r="AB660" s="212"/>
      <c r="AC660" s="9"/>
      <c r="AD660" s="9"/>
      <c r="AE660" s="10"/>
      <c r="AF660" s="10"/>
      <c r="AG660" s="10"/>
      <c r="AH660" s="10"/>
      <c r="AI660" s="10"/>
      <c r="AJ660" s="10"/>
      <c r="AK660" s="10"/>
      <c r="AL660" s="10"/>
      <c r="AM660" s="10"/>
    </row>
    <row r="661" spans="1:39" ht="15.75" customHeight="1" x14ac:dyDescent="0.2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212"/>
      <c r="Q661" s="9"/>
      <c r="R661" s="9"/>
      <c r="S661" s="9"/>
      <c r="T661" s="9"/>
      <c r="U661" s="9"/>
      <c r="V661" s="9"/>
      <c r="W661" s="9"/>
      <c r="X661" s="9"/>
      <c r="Y661" s="9"/>
      <c r="Z661" s="9"/>
      <c r="AA661" s="9"/>
      <c r="AB661" s="212"/>
      <c r="AC661" s="9"/>
      <c r="AD661" s="9"/>
      <c r="AE661" s="10"/>
      <c r="AF661" s="10"/>
      <c r="AG661" s="10"/>
      <c r="AH661" s="10"/>
      <c r="AI661" s="10"/>
      <c r="AJ661" s="10"/>
      <c r="AK661" s="10"/>
      <c r="AL661" s="10"/>
      <c r="AM661" s="10"/>
    </row>
    <row r="662" spans="1:39" ht="15.75" customHeight="1" x14ac:dyDescent="0.2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212"/>
      <c r="Q662" s="9"/>
      <c r="R662" s="9"/>
      <c r="S662" s="9"/>
      <c r="T662" s="9"/>
      <c r="U662" s="9"/>
      <c r="V662" s="9"/>
      <c r="W662" s="9"/>
      <c r="X662" s="9"/>
      <c r="Y662" s="9"/>
      <c r="Z662" s="9"/>
      <c r="AA662" s="9"/>
      <c r="AB662" s="212"/>
      <c r="AC662" s="9"/>
      <c r="AD662" s="9"/>
      <c r="AE662" s="10"/>
      <c r="AF662" s="10"/>
      <c r="AG662" s="10"/>
      <c r="AH662" s="10"/>
      <c r="AI662" s="10"/>
      <c r="AJ662" s="10"/>
      <c r="AK662" s="10"/>
      <c r="AL662" s="10"/>
      <c r="AM662" s="10"/>
    </row>
    <row r="663" spans="1:39" ht="15.75" customHeight="1" x14ac:dyDescent="0.2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212"/>
      <c r="Q663" s="9"/>
      <c r="R663" s="9"/>
      <c r="S663" s="9"/>
      <c r="T663" s="9"/>
      <c r="U663" s="9"/>
      <c r="V663" s="9"/>
      <c r="W663" s="9"/>
      <c r="X663" s="9"/>
      <c r="Y663" s="9"/>
      <c r="Z663" s="9"/>
      <c r="AA663" s="9"/>
      <c r="AB663" s="212"/>
      <c r="AC663" s="9"/>
      <c r="AD663" s="9"/>
      <c r="AE663" s="10"/>
      <c r="AF663" s="10"/>
      <c r="AG663" s="10"/>
      <c r="AH663" s="10"/>
      <c r="AI663" s="10"/>
      <c r="AJ663" s="10"/>
      <c r="AK663" s="10"/>
      <c r="AL663" s="10"/>
      <c r="AM663" s="10"/>
    </row>
    <row r="664" spans="1:39" ht="15.75" customHeight="1" x14ac:dyDescent="0.2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212"/>
      <c r="Q664" s="9"/>
      <c r="R664" s="9"/>
      <c r="S664" s="9"/>
      <c r="T664" s="9"/>
      <c r="U664" s="9"/>
      <c r="V664" s="9"/>
      <c r="W664" s="9"/>
      <c r="X664" s="9"/>
      <c r="Y664" s="9"/>
      <c r="Z664" s="9"/>
      <c r="AA664" s="9"/>
      <c r="AB664" s="212"/>
      <c r="AC664" s="9"/>
      <c r="AD664" s="9"/>
      <c r="AE664" s="10"/>
      <c r="AF664" s="10"/>
      <c r="AG664" s="10"/>
      <c r="AH664" s="10"/>
      <c r="AI664" s="10"/>
      <c r="AJ664" s="10"/>
      <c r="AK664" s="10"/>
      <c r="AL664" s="10"/>
      <c r="AM664" s="10"/>
    </row>
    <row r="665" spans="1:39" ht="15.75" customHeight="1" x14ac:dyDescent="0.2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212"/>
      <c r="Q665" s="9"/>
      <c r="R665" s="9"/>
      <c r="S665" s="9"/>
      <c r="T665" s="9"/>
      <c r="U665" s="9"/>
      <c r="V665" s="9"/>
      <c r="W665" s="9"/>
      <c r="X665" s="9"/>
      <c r="Y665" s="9"/>
      <c r="Z665" s="9"/>
      <c r="AA665" s="9"/>
      <c r="AB665" s="212"/>
      <c r="AC665" s="9"/>
      <c r="AD665" s="9"/>
      <c r="AE665" s="10"/>
      <c r="AF665" s="10"/>
      <c r="AG665" s="10"/>
      <c r="AH665" s="10"/>
      <c r="AI665" s="10"/>
      <c r="AJ665" s="10"/>
      <c r="AK665" s="10"/>
      <c r="AL665" s="10"/>
      <c r="AM665" s="10"/>
    </row>
    <row r="666" spans="1:39" ht="15.75" customHeight="1" x14ac:dyDescent="0.2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212"/>
      <c r="Q666" s="9"/>
      <c r="R666" s="9"/>
      <c r="S666" s="9"/>
      <c r="T666" s="9"/>
      <c r="U666" s="9"/>
      <c r="V666" s="9"/>
      <c r="W666" s="9"/>
      <c r="X666" s="9"/>
      <c r="Y666" s="9"/>
      <c r="Z666" s="9"/>
      <c r="AA666" s="9"/>
      <c r="AB666" s="212"/>
      <c r="AC666" s="9"/>
      <c r="AD666" s="9"/>
      <c r="AE666" s="10"/>
      <c r="AF666" s="10"/>
      <c r="AG666" s="10"/>
      <c r="AH666" s="10"/>
      <c r="AI666" s="10"/>
      <c r="AJ666" s="10"/>
      <c r="AK666" s="10"/>
      <c r="AL666" s="10"/>
      <c r="AM666" s="10"/>
    </row>
    <row r="667" spans="1:39" ht="15.75" customHeight="1" x14ac:dyDescent="0.2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212"/>
      <c r="Q667" s="9"/>
      <c r="R667" s="9"/>
      <c r="S667" s="9"/>
      <c r="T667" s="9"/>
      <c r="U667" s="9"/>
      <c r="V667" s="9"/>
      <c r="W667" s="9"/>
      <c r="X667" s="9"/>
      <c r="Y667" s="9"/>
      <c r="Z667" s="9"/>
      <c r="AA667" s="9"/>
      <c r="AB667" s="212"/>
      <c r="AC667" s="9"/>
      <c r="AD667" s="9"/>
      <c r="AE667" s="10"/>
      <c r="AF667" s="10"/>
      <c r="AG667" s="10"/>
      <c r="AH667" s="10"/>
      <c r="AI667" s="10"/>
      <c r="AJ667" s="10"/>
      <c r="AK667" s="10"/>
      <c r="AL667" s="10"/>
      <c r="AM667" s="10"/>
    </row>
    <row r="668" spans="1:39" ht="15.75" customHeight="1" x14ac:dyDescent="0.2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212"/>
      <c r="Q668" s="9"/>
      <c r="R668" s="9"/>
      <c r="S668" s="9"/>
      <c r="T668" s="9"/>
      <c r="U668" s="9"/>
      <c r="V668" s="9"/>
      <c r="W668" s="9"/>
      <c r="X668" s="9"/>
      <c r="Y668" s="9"/>
      <c r="Z668" s="9"/>
      <c r="AA668" s="9"/>
      <c r="AB668" s="212"/>
      <c r="AC668" s="9"/>
      <c r="AD668" s="9"/>
      <c r="AE668" s="10"/>
      <c r="AF668" s="10"/>
      <c r="AG668" s="10"/>
      <c r="AH668" s="10"/>
      <c r="AI668" s="10"/>
      <c r="AJ668" s="10"/>
      <c r="AK668" s="10"/>
      <c r="AL668" s="10"/>
      <c r="AM668" s="10"/>
    </row>
    <row r="669" spans="1:39" ht="15.75" customHeight="1" x14ac:dyDescent="0.2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212"/>
      <c r="Q669" s="9"/>
      <c r="R669" s="9"/>
      <c r="S669" s="9"/>
      <c r="T669" s="9"/>
      <c r="U669" s="9"/>
      <c r="V669" s="9"/>
      <c r="W669" s="9"/>
      <c r="X669" s="9"/>
      <c r="Y669" s="9"/>
      <c r="Z669" s="9"/>
      <c r="AA669" s="9"/>
      <c r="AB669" s="212"/>
      <c r="AC669" s="9"/>
      <c r="AD669" s="9"/>
      <c r="AE669" s="10"/>
      <c r="AF669" s="10"/>
      <c r="AG669" s="10"/>
      <c r="AH669" s="10"/>
      <c r="AI669" s="10"/>
      <c r="AJ669" s="10"/>
      <c r="AK669" s="10"/>
      <c r="AL669" s="10"/>
      <c r="AM669" s="10"/>
    </row>
    <row r="670" spans="1:39" ht="15.75" customHeight="1" x14ac:dyDescent="0.2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212"/>
      <c r="Q670" s="9"/>
      <c r="R670" s="9"/>
      <c r="S670" s="9"/>
      <c r="T670" s="9"/>
      <c r="U670" s="9"/>
      <c r="V670" s="9"/>
      <c r="W670" s="9"/>
      <c r="X670" s="9"/>
      <c r="Y670" s="9"/>
      <c r="Z670" s="9"/>
      <c r="AA670" s="9"/>
      <c r="AB670" s="212"/>
      <c r="AC670" s="9"/>
      <c r="AD670" s="9"/>
      <c r="AE670" s="10"/>
      <c r="AF670" s="10"/>
      <c r="AG670" s="10"/>
      <c r="AH670" s="10"/>
      <c r="AI670" s="10"/>
      <c r="AJ670" s="10"/>
      <c r="AK670" s="10"/>
      <c r="AL670" s="10"/>
      <c r="AM670" s="10"/>
    </row>
    <row r="671" spans="1:39" ht="15.75" customHeight="1" x14ac:dyDescent="0.2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212"/>
      <c r="Q671" s="9"/>
      <c r="R671" s="9"/>
      <c r="S671" s="9"/>
      <c r="T671" s="9"/>
      <c r="U671" s="9"/>
      <c r="V671" s="9"/>
      <c r="W671" s="9"/>
      <c r="X671" s="9"/>
      <c r="Y671" s="9"/>
      <c r="Z671" s="9"/>
      <c r="AA671" s="9"/>
      <c r="AB671" s="212"/>
      <c r="AC671" s="9"/>
      <c r="AD671" s="9"/>
      <c r="AE671" s="10"/>
      <c r="AF671" s="10"/>
      <c r="AG671" s="10"/>
      <c r="AH671" s="10"/>
      <c r="AI671" s="10"/>
      <c r="AJ671" s="10"/>
      <c r="AK671" s="10"/>
      <c r="AL671" s="10"/>
      <c r="AM671" s="10"/>
    </row>
    <row r="672" spans="1:39" ht="15.75" customHeight="1" x14ac:dyDescent="0.2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212"/>
      <c r="Q672" s="9"/>
      <c r="R672" s="9"/>
      <c r="S672" s="9"/>
      <c r="T672" s="9"/>
      <c r="U672" s="9"/>
      <c r="V672" s="9"/>
      <c r="W672" s="9"/>
      <c r="X672" s="9"/>
      <c r="Y672" s="9"/>
      <c r="Z672" s="9"/>
      <c r="AA672" s="9"/>
      <c r="AB672" s="212"/>
      <c r="AC672" s="9"/>
      <c r="AD672" s="9"/>
      <c r="AE672" s="10"/>
      <c r="AF672" s="10"/>
      <c r="AG672" s="10"/>
      <c r="AH672" s="10"/>
      <c r="AI672" s="10"/>
      <c r="AJ672" s="10"/>
      <c r="AK672" s="10"/>
      <c r="AL672" s="10"/>
      <c r="AM672" s="10"/>
    </row>
    <row r="673" spans="1:39" ht="15.75" customHeight="1" x14ac:dyDescent="0.2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212"/>
      <c r="Q673" s="9"/>
      <c r="R673" s="9"/>
      <c r="S673" s="9"/>
      <c r="T673" s="9"/>
      <c r="U673" s="9"/>
      <c r="V673" s="9"/>
      <c r="W673" s="9"/>
      <c r="X673" s="9"/>
      <c r="Y673" s="9"/>
      <c r="Z673" s="9"/>
      <c r="AA673" s="9"/>
      <c r="AB673" s="212"/>
      <c r="AC673" s="9"/>
      <c r="AD673" s="9"/>
      <c r="AE673" s="10"/>
      <c r="AF673" s="10"/>
      <c r="AG673" s="10"/>
      <c r="AH673" s="10"/>
      <c r="AI673" s="10"/>
      <c r="AJ673" s="10"/>
      <c r="AK673" s="10"/>
      <c r="AL673" s="10"/>
      <c r="AM673" s="10"/>
    </row>
    <row r="674" spans="1:39" ht="15.75" customHeight="1" x14ac:dyDescent="0.2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212"/>
      <c r="Q674" s="9"/>
      <c r="R674" s="9"/>
      <c r="S674" s="9"/>
      <c r="T674" s="9"/>
      <c r="U674" s="9"/>
      <c r="V674" s="9"/>
      <c r="W674" s="9"/>
      <c r="X674" s="9"/>
      <c r="Y674" s="9"/>
      <c r="Z674" s="9"/>
      <c r="AA674" s="9"/>
      <c r="AB674" s="212"/>
      <c r="AC674" s="9"/>
      <c r="AD674" s="9"/>
      <c r="AE674" s="10"/>
      <c r="AF674" s="10"/>
      <c r="AG674" s="10"/>
      <c r="AH674" s="10"/>
      <c r="AI674" s="10"/>
      <c r="AJ674" s="10"/>
      <c r="AK674" s="10"/>
      <c r="AL674" s="10"/>
      <c r="AM674" s="10"/>
    </row>
    <row r="675" spans="1:39" ht="15.75" customHeight="1" x14ac:dyDescent="0.2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212"/>
      <c r="Q675" s="9"/>
      <c r="R675" s="9"/>
      <c r="S675" s="9"/>
      <c r="T675" s="9"/>
      <c r="U675" s="9"/>
      <c r="V675" s="9"/>
      <c r="W675" s="9"/>
      <c r="X675" s="9"/>
      <c r="Y675" s="9"/>
      <c r="Z675" s="9"/>
      <c r="AA675" s="9"/>
      <c r="AB675" s="212"/>
      <c r="AC675" s="9"/>
      <c r="AD675" s="9"/>
      <c r="AE675" s="10"/>
      <c r="AF675" s="10"/>
      <c r="AG675" s="10"/>
      <c r="AH675" s="10"/>
      <c r="AI675" s="10"/>
      <c r="AJ675" s="10"/>
      <c r="AK675" s="10"/>
      <c r="AL675" s="10"/>
      <c r="AM675" s="10"/>
    </row>
    <row r="676" spans="1:39" ht="15.75" customHeight="1" x14ac:dyDescent="0.2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212"/>
      <c r="Q676" s="9"/>
      <c r="R676" s="9"/>
      <c r="S676" s="9"/>
      <c r="T676" s="9"/>
      <c r="U676" s="9"/>
      <c r="V676" s="9"/>
      <c r="W676" s="9"/>
      <c r="X676" s="9"/>
      <c r="Y676" s="9"/>
      <c r="Z676" s="9"/>
      <c r="AA676" s="9"/>
      <c r="AB676" s="212"/>
      <c r="AC676" s="9"/>
      <c r="AD676" s="9"/>
      <c r="AE676" s="10"/>
      <c r="AF676" s="10"/>
      <c r="AG676" s="10"/>
      <c r="AH676" s="10"/>
      <c r="AI676" s="10"/>
      <c r="AJ676" s="10"/>
      <c r="AK676" s="10"/>
      <c r="AL676" s="10"/>
      <c r="AM676" s="10"/>
    </row>
    <row r="677" spans="1:39" ht="15.75" customHeight="1" x14ac:dyDescent="0.2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212"/>
      <c r="Q677" s="9"/>
      <c r="R677" s="9"/>
      <c r="S677" s="9"/>
      <c r="T677" s="9"/>
      <c r="U677" s="9"/>
      <c r="V677" s="9"/>
      <c r="W677" s="9"/>
      <c r="X677" s="9"/>
      <c r="Y677" s="9"/>
      <c r="Z677" s="9"/>
      <c r="AA677" s="9"/>
      <c r="AB677" s="212"/>
      <c r="AC677" s="9"/>
      <c r="AD677" s="9"/>
      <c r="AE677" s="10"/>
      <c r="AF677" s="10"/>
      <c r="AG677" s="10"/>
      <c r="AH677" s="10"/>
      <c r="AI677" s="10"/>
      <c r="AJ677" s="10"/>
      <c r="AK677" s="10"/>
      <c r="AL677" s="10"/>
      <c r="AM677" s="10"/>
    </row>
    <row r="678" spans="1:39" ht="15.75" customHeight="1" x14ac:dyDescent="0.2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212"/>
      <c r="Q678" s="9"/>
      <c r="R678" s="9"/>
      <c r="S678" s="9"/>
      <c r="T678" s="9"/>
      <c r="U678" s="9"/>
      <c r="V678" s="9"/>
      <c r="W678" s="9"/>
      <c r="X678" s="9"/>
      <c r="Y678" s="9"/>
      <c r="Z678" s="9"/>
      <c r="AA678" s="9"/>
      <c r="AB678" s="212"/>
      <c r="AC678" s="9"/>
      <c r="AD678" s="9"/>
      <c r="AE678" s="10"/>
      <c r="AF678" s="10"/>
      <c r="AG678" s="10"/>
      <c r="AH678" s="10"/>
      <c r="AI678" s="10"/>
      <c r="AJ678" s="10"/>
      <c r="AK678" s="10"/>
      <c r="AL678" s="10"/>
      <c r="AM678" s="10"/>
    </row>
    <row r="679" spans="1:39" ht="15.75" customHeight="1" x14ac:dyDescent="0.2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212"/>
      <c r="Q679" s="9"/>
      <c r="R679" s="9"/>
      <c r="S679" s="9"/>
      <c r="T679" s="9"/>
      <c r="U679" s="9"/>
      <c r="V679" s="9"/>
      <c r="W679" s="9"/>
      <c r="X679" s="9"/>
      <c r="Y679" s="9"/>
      <c r="Z679" s="9"/>
      <c r="AA679" s="9"/>
      <c r="AB679" s="212"/>
      <c r="AC679" s="9"/>
      <c r="AD679" s="9"/>
      <c r="AE679" s="10"/>
      <c r="AF679" s="10"/>
      <c r="AG679" s="10"/>
      <c r="AH679" s="10"/>
      <c r="AI679" s="10"/>
      <c r="AJ679" s="10"/>
      <c r="AK679" s="10"/>
      <c r="AL679" s="10"/>
      <c r="AM679" s="10"/>
    </row>
    <row r="680" spans="1:39" ht="15.75" customHeight="1" x14ac:dyDescent="0.2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212"/>
      <c r="Q680" s="9"/>
      <c r="R680" s="9"/>
      <c r="S680" s="9"/>
      <c r="T680" s="9"/>
      <c r="U680" s="9"/>
      <c r="V680" s="9"/>
      <c r="W680" s="9"/>
      <c r="X680" s="9"/>
      <c r="Y680" s="9"/>
      <c r="Z680" s="9"/>
      <c r="AA680" s="9"/>
      <c r="AB680" s="212"/>
      <c r="AC680" s="9"/>
      <c r="AD680" s="9"/>
      <c r="AE680" s="10"/>
      <c r="AF680" s="10"/>
      <c r="AG680" s="10"/>
      <c r="AH680" s="10"/>
      <c r="AI680" s="10"/>
      <c r="AJ680" s="10"/>
      <c r="AK680" s="10"/>
      <c r="AL680" s="10"/>
      <c r="AM680" s="10"/>
    </row>
    <row r="681" spans="1:39" ht="15.75" customHeight="1" x14ac:dyDescent="0.2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212"/>
      <c r="Q681" s="9"/>
      <c r="R681" s="9"/>
      <c r="S681" s="9"/>
      <c r="T681" s="9"/>
      <c r="U681" s="9"/>
      <c r="V681" s="9"/>
      <c r="W681" s="9"/>
      <c r="X681" s="9"/>
      <c r="Y681" s="9"/>
      <c r="Z681" s="9"/>
      <c r="AA681" s="9"/>
      <c r="AB681" s="212"/>
      <c r="AC681" s="9"/>
      <c r="AD681" s="9"/>
      <c r="AE681" s="10"/>
      <c r="AF681" s="10"/>
      <c r="AG681" s="10"/>
      <c r="AH681" s="10"/>
      <c r="AI681" s="10"/>
      <c r="AJ681" s="10"/>
      <c r="AK681" s="10"/>
      <c r="AL681" s="10"/>
      <c r="AM681" s="10"/>
    </row>
    <row r="682" spans="1:39" ht="15.75" customHeight="1" x14ac:dyDescent="0.2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212"/>
      <c r="Q682" s="9"/>
      <c r="R682" s="9"/>
      <c r="S682" s="9"/>
      <c r="T682" s="9"/>
      <c r="U682" s="9"/>
      <c r="V682" s="9"/>
      <c r="W682" s="9"/>
      <c r="X682" s="9"/>
      <c r="Y682" s="9"/>
      <c r="Z682" s="9"/>
      <c r="AA682" s="9"/>
      <c r="AB682" s="212"/>
      <c r="AC682" s="9"/>
      <c r="AD682" s="9"/>
      <c r="AE682" s="10"/>
      <c r="AF682" s="10"/>
      <c r="AG682" s="10"/>
      <c r="AH682" s="10"/>
      <c r="AI682" s="10"/>
      <c r="AJ682" s="10"/>
      <c r="AK682" s="10"/>
      <c r="AL682" s="10"/>
      <c r="AM682" s="10"/>
    </row>
    <row r="683" spans="1:39" ht="15.75" customHeight="1" x14ac:dyDescent="0.2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212"/>
      <c r="Q683" s="9"/>
      <c r="R683" s="9"/>
      <c r="S683" s="9"/>
      <c r="T683" s="9"/>
      <c r="U683" s="9"/>
      <c r="V683" s="9"/>
      <c r="W683" s="9"/>
      <c r="X683" s="9"/>
      <c r="Y683" s="9"/>
      <c r="Z683" s="9"/>
      <c r="AA683" s="9"/>
      <c r="AB683" s="212"/>
      <c r="AC683" s="9"/>
      <c r="AD683" s="9"/>
      <c r="AE683" s="10"/>
      <c r="AF683" s="10"/>
      <c r="AG683" s="10"/>
      <c r="AH683" s="10"/>
      <c r="AI683" s="10"/>
      <c r="AJ683" s="10"/>
      <c r="AK683" s="10"/>
      <c r="AL683" s="10"/>
      <c r="AM683" s="10"/>
    </row>
    <row r="684" spans="1:39" ht="15.75" customHeight="1" x14ac:dyDescent="0.2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212"/>
      <c r="Q684" s="9"/>
      <c r="R684" s="9"/>
      <c r="S684" s="9"/>
      <c r="T684" s="9"/>
      <c r="U684" s="9"/>
      <c r="V684" s="9"/>
      <c r="W684" s="9"/>
      <c r="X684" s="9"/>
      <c r="Y684" s="9"/>
      <c r="Z684" s="9"/>
      <c r="AA684" s="9"/>
      <c r="AB684" s="212"/>
      <c r="AC684" s="9"/>
      <c r="AD684" s="9"/>
      <c r="AE684" s="10"/>
      <c r="AF684" s="10"/>
      <c r="AG684" s="10"/>
      <c r="AH684" s="10"/>
      <c r="AI684" s="10"/>
      <c r="AJ684" s="10"/>
      <c r="AK684" s="10"/>
      <c r="AL684" s="10"/>
      <c r="AM684" s="10"/>
    </row>
    <row r="685" spans="1:39" ht="15.75" customHeight="1" x14ac:dyDescent="0.2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212"/>
      <c r="Q685" s="9"/>
      <c r="R685" s="9"/>
      <c r="S685" s="9"/>
      <c r="T685" s="9"/>
      <c r="U685" s="9"/>
      <c r="V685" s="9"/>
      <c r="W685" s="9"/>
      <c r="X685" s="9"/>
      <c r="Y685" s="9"/>
      <c r="Z685" s="9"/>
      <c r="AA685" s="9"/>
      <c r="AB685" s="212"/>
      <c r="AC685" s="9"/>
      <c r="AD685" s="9"/>
      <c r="AE685" s="10"/>
      <c r="AF685" s="10"/>
      <c r="AG685" s="10"/>
      <c r="AH685" s="10"/>
      <c r="AI685" s="10"/>
      <c r="AJ685" s="10"/>
      <c r="AK685" s="10"/>
      <c r="AL685" s="10"/>
      <c r="AM685" s="10"/>
    </row>
    <row r="686" spans="1:39" ht="15.75" customHeight="1" x14ac:dyDescent="0.2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212"/>
      <c r="Q686" s="9"/>
      <c r="R686" s="9"/>
      <c r="S686" s="9"/>
      <c r="T686" s="9"/>
      <c r="U686" s="9"/>
      <c r="V686" s="9"/>
      <c r="W686" s="9"/>
      <c r="X686" s="9"/>
      <c r="Y686" s="9"/>
      <c r="Z686" s="9"/>
      <c r="AA686" s="9"/>
      <c r="AB686" s="212"/>
      <c r="AC686" s="9"/>
      <c r="AD686" s="9"/>
      <c r="AE686" s="10"/>
      <c r="AF686" s="10"/>
      <c r="AG686" s="10"/>
      <c r="AH686" s="10"/>
      <c r="AI686" s="10"/>
      <c r="AJ686" s="10"/>
      <c r="AK686" s="10"/>
      <c r="AL686" s="10"/>
      <c r="AM686" s="10"/>
    </row>
    <row r="687" spans="1:39" ht="15.75" customHeight="1" x14ac:dyDescent="0.2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212"/>
      <c r="Q687" s="9"/>
      <c r="R687" s="9"/>
      <c r="S687" s="9"/>
      <c r="T687" s="9"/>
      <c r="U687" s="9"/>
      <c r="V687" s="9"/>
      <c r="W687" s="9"/>
      <c r="X687" s="9"/>
      <c r="Y687" s="9"/>
      <c r="Z687" s="9"/>
      <c r="AA687" s="9"/>
      <c r="AB687" s="212"/>
      <c r="AC687" s="9"/>
      <c r="AD687" s="9"/>
      <c r="AE687" s="10"/>
      <c r="AF687" s="10"/>
      <c r="AG687" s="10"/>
      <c r="AH687" s="10"/>
      <c r="AI687" s="10"/>
      <c r="AJ687" s="10"/>
      <c r="AK687" s="10"/>
      <c r="AL687" s="10"/>
      <c r="AM687" s="10"/>
    </row>
    <row r="688" spans="1:39" ht="15.75" customHeight="1" x14ac:dyDescent="0.2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212"/>
      <c r="Q688" s="9"/>
      <c r="R688" s="9"/>
      <c r="S688" s="9"/>
      <c r="T688" s="9"/>
      <c r="U688" s="9"/>
      <c r="V688" s="9"/>
      <c r="W688" s="9"/>
      <c r="X688" s="9"/>
      <c r="Y688" s="9"/>
      <c r="Z688" s="9"/>
      <c r="AA688" s="9"/>
      <c r="AB688" s="212"/>
      <c r="AC688" s="9"/>
      <c r="AD688" s="9"/>
      <c r="AE688" s="10"/>
      <c r="AF688" s="10"/>
      <c r="AG688" s="10"/>
      <c r="AH688" s="10"/>
      <c r="AI688" s="10"/>
      <c r="AJ688" s="10"/>
      <c r="AK688" s="10"/>
      <c r="AL688" s="10"/>
      <c r="AM688" s="10"/>
    </row>
    <row r="689" spans="1:39" ht="15.75" customHeight="1" x14ac:dyDescent="0.2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212"/>
      <c r="Q689" s="9"/>
      <c r="R689" s="9"/>
      <c r="S689" s="9"/>
      <c r="T689" s="9"/>
      <c r="U689" s="9"/>
      <c r="V689" s="9"/>
      <c r="W689" s="9"/>
      <c r="X689" s="9"/>
      <c r="Y689" s="9"/>
      <c r="Z689" s="9"/>
      <c r="AA689" s="9"/>
      <c r="AB689" s="212"/>
      <c r="AC689" s="9"/>
      <c r="AD689" s="9"/>
      <c r="AE689" s="10"/>
      <c r="AF689" s="10"/>
      <c r="AG689" s="10"/>
      <c r="AH689" s="10"/>
      <c r="AI689" s="10"/>
      <c r="AJ689" s="10"/>
      <c r="AK689" s="10"/>
      <c r="AL689" s="10"/>
      <c r="AM689" s="10"/>
    </row>
    <row r="690" spans="1:39" ht="15.75" customHeight="1" x14ac:dyDescent="0.2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212"/>
      <c r="Q690" s="9"/>
      <c r="R690" s="9"/>
      <c r="S690" s="9"/>
      <c r="T690" s="9"/>
      <c r="U690" s="9"/>
      <c r="V690" s="9"/>
      <c r="W690" s="9"/>
      <c r="X690" s="9"/>
      <c r="Y690" s="9"/>
      <c r="Z690" s="9"/>
      <c r="AA690" s="9"/>
      <c r="AB690" s="212"/>
      <c r="AC690" s="9"/>
      <c r="AD690" s="9"/>
      <c r="AE690" s="10"/>
      <c r="AF690" s="10"/>
      <c r="AG690" s="10"/>
      <c r="AH690" s="10"/>
      <c r="AI690" s="10"/>
      <c r="AJ690" s="10"/>
      <c r="AK690" s="10"/>
      <c r="AL690" s="10"/>
      <c r="AM690" s="10"/>
    </row>
    <row r="691" spans="1:39" ht="15.75" customHeight="1" x14ac:dyDescent="0.2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212"/>
      <c r="Q691" s="9"/>
      <c r="R691" s="9"/>
      <c r="S691" s="9"/>
      <c r="T691" s="9"/>
      <c r="U691" s="9"/>
      <c r="V691" s="9"/>
      <c r="W691" s="9"/>
      <c r="X691" s="9"/>
      <c r="Y691" s="9"/>
      <c r="Z691" s="9"/>
      <c r="AA691" s="9"/>
      <c r="AB691" s="212"/>
      <c r="AC691" s="9"/>
      <c r="AD691" s="9"/>
      <c r="AE691" s="10"/>
      <c r="AF691" s="10"/>
      <c r="AG691" s="10"/>
      <c r="AH691" s="10"/>
      <c r="AI691" s="10"/>
      <c r="AJ691" s="10"/>
      <c r="AK691" s="10"/>
      <c r="AL691" s="10"/>
      <c r="AM691" s="10"/>
    </row>
    <row r="692" spans="1:39" ht="15.75" customHeight="1" x14ac:dyDescent="0.2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212"/>
      <c r="Q692" s="9"/>
      <c r="R692" s="9"/>
      <c r="S692" s="9"/>
      <c r="T692" s="9"/>
      <c r="U692" s="9"/>
      <c r="V692" s="9"/>
      <c r="W692" s="9"/>
      <c r="X692" s="9"/>
      <c r="Y692" s="9"/>
      <c r="Z692" s="9"/>
      <c r="AA692" s="9"/>
      <c r="AB692" s="212"/>
      <c r="AC692" s="9"/>
      <c r="AD692" s="9"/>
      <c r="AE692" s="10"/>
      <c r="AF692" s="10"/>
      <c r="AG692" s="10"/>
      <c r="AH692" s="10"/>
      <c r="AI692" s="10"/>
      <c r="AJ692" s="10"/>
      <c r="AK692" s="10"/>
      <c r="AL692" s="10"/>
      <c r="AM692" s="10"/>
    </row>
    <row r="693" spans="1:39" ht="15.75" customHeight="1" x14ac:dyDescent="0.2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212"/>
      <c r="Q693" s="9"/>
      <c r="R693" s="9"/>
      <c r="S693" s="9"/>
      <c r="T693" s="9"/>
      <c r="U693" s="9"/>
      <c r="V693" s="9"/>
      <c r="W693" s="9"/>
      <c r="X693" s="9"/>
      <c r="Y693" s="9"/>
      <c r="Z693" s="9"/>
      <c r="AA693" s="9"/>
      <c r="AB693" s="212"/>
      <c r="AC693" s="9"/>
      <c r="AD693" s="9"/>
      <c r="AE693" s="10"/>
      <c r="AF693" s="10"/>
      <c r="AG693" s="10"/>
      <c r="AH693" s="10"/>
      <c r="AI693" s="10"/>
      <c r="AJ693" s="10"/>
      <c r="AK693" s="10"/>
      <c r="AL693" s="10"/>
      <c r="AM693" s="10"/>
    </row>
    <row r="694" spans="1:39" ht="15.75" customHeight="1" x14ac:dyDescent="0.2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212"/>
      <c r="Q694" s="9"/>
      <c r="R694" s="9"/>
      <c r="S694" s="9"/>
      <c r="T694" s="9"/>
      <c r="U694" s="9"/>
      <c r="V694" s="9"/>
      <c r="W694" s="9"/>
      <c r="X694" s="9"/>
      <c r="Y694" s="9"/>
      <c r="Z694" s="9"/>
      <c r="AA694" s="9"/>
      <c r="AB694" s="212"/>
      <c r="AC694" s="9"/>
      <c r="AD694" s="9"/>
      <c r="AE694" s="10"/>
      <c r="AF694" s="10"/>
      <c r="AG694" s="10"/>
      <c r="AH694" s="10"/>
      <c r="AI694" s="10"/>
      <c r="AJ694" s="10"/>
      <c r="AK694" s="10"/>
      <c r="AL694" s="10"/>
      <c r="AM694" s="10"/>
    </row>
    <row r="695" spans="1:39" ht="15.75" customHeight="1" x14ac:dyDescent="0.2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212"/>
      <c r="Q695" s="9"/>
      <c r="R695" s="9"/>
      <c r="S695" s="9"/>
      <c r="T695" s="9"/>
      <c r="U695" s="9"/>
      <c r="V695" s="9"/>
      <c r="W695" s="9"/>
      <c r="X695" s="9"/>
      <c r="Y695" s="9"/>
      <c r="Z695" s="9"/>
      <c r="AA695" s="9"/>
      <c r="AB695" s="212"/>
      <c r="AC695" s="9"/>
      <c r="AD695" s="9"/>
      <c r="AE695" s="10"/>
      <c r="AF695" s="10"/>
      <c r="AG695" s="10"/>
      <c r="AH695" s="10"/>
      <c r="AI695" s="10"/>
      <c r="AJ695" s="10"/>
      <c r="AK695" s="10"/>
      <c r="AL695" s="10"/>
      <c r="AM695" s="10"/>
    </row>
    <row r="696" spans="1:39" ht="15.75" customHeight="1" x14ac:dyDescent="0.2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212"/>
      <c r="Q696" s="9"/>
      <c r="R696" s="9"/>
      <c r="S696" s="9"/>
      <c r="T696" s="9"/>
      <c r="U696" s="9"/>
      <c r="V696" s="9"/>
      <c r="W696" s="9"/>
      <c r="X696" s="9"/>
      <c r="Y696" s="9"/>
      <c r="Z696" s="9"/>
      <c r="AA696" s="9"/>
      <c r="AB696" s="212"/>
      <c r="AC696" s="9"/>
      <c r="AD696" s="9"/>
      <c r="AE696" s="10"/>
      <c r="AF696" s="10"/>
      <c r="AG696" s="10"/>
      <c r="AH696" s="10"/>
      <c r="AI696" s="10"/>
      <c r="AJ696" s="10"/>
      <c r="AK696" s="10"/>
      <c r="AL696" s="10"/>
      <c r="AM696" s="10"/>
    </row>
    <row r="697" spans="1:39" ht="15.75" customHeight="1" x14ac:dyDescent="0.2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212"/>
      <c r="Q697" s="9"/>
      <c r="R697" s="9"/>
      <c r="S697" s="9"/>
      <c r="T697" s="9"/>
      <c r="U697" s="9"/>
      <c r="V697" s="9"/>
      <c r="W697" s="9"/>
      <c r="X697" s="9"/>
      <c r="Y697" s="9"/>
      <c r="Z697" s="9"/>
      <c r="AA697" s="9"/>
      <c r="AB697" s="212"/>
      <c r="AC697" s="9"/>
      <c r="AD697" s="9"/>
      <c r="AE697" s="10"/>
      <c r="AF697" s="10"/>
      <c r="AG697" s="10"/>
      <c r="AH697" s="10"/>
      <c r="AI697" s="10"/>
      <c r="AJ697" s="10"/>
      <c r="AK697" s="10"/>
      <c r="AL697" s="10"/>
      <c r="AM697" s="10"/>
    </row>
    <row r="698" spans="1:39" ht="15.75" customHeight="1" x14ac:dyDescent="0.2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212"/>
      <c r="Q698" s="9"/>
      <c r="R698" s="9"/>
      <c r="S698" s="9"/>
      <c r="T698" s="9"/>
      <c r="U698" s="9"/>
      <c r="V698" s="9"/>
      <c r="W698" s="9"/>
      <c r="X698" s="9"/>
      <c r="Y698" s="9"/>
      <c r="Z698" s="9"/>
      <c r="AA698" s="9"/>
      <c r="AB698" s="212"/>
      <c r="AC698" s="9"/>
      <c r="AD698" s="9"/>
      <c r="AE698" s="10"/>
      <c r="AF698" s="10"/>
      <c r="AG698" s="10"/>
      <c r="AH698" s="10"/>
      <c r="AI698" s="10"/>
      <c r="AJ698" s="10"/>
      <c r="AK698" s="10"/>
      <c r="AL698" s="10"/>
      <c r="AM698" s="10"/>
    </row>
    <row r="699" spans="1:39" ht="15.75" customHeight="1" x14ac:dyDescent="0.2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212"/>
      <c r="Q699" s="9"/>
      <c r="R699" s="9"/>
      <c r="S699" s="9"/>
      <c r="T699" s="9"/>
      <c r="U699" s="9"/>
      <c r="V699" s="9"/>
      <c r="W699" s="9"/>
      <c r="X699" s="9"/>
      <c r="Y699" s="9"/>
      <c r="Z699" s="9"/>
      <c r="AA699" s="9"/>
      <c r="AB699" s="212"/>
      <c r="AC699" s="9"/>
      <c r="AD699" s="9"/>
      <c r="AE699" s="10"/>
      <c r="AF699" s="10"/>
      <c r="AG699" s="10"/>
      <c r="AH699" s="10"/>
      <c r="AI699" s="10"/>
      <c r="AJ699" s="10"/>
      <c r="AK699" s="10"/>
      <c r="AL699" s="10"/>
      <c r="AM699" s="10"/>
    </row>
    <row r="700" spans="1:39" ht="15.75" customHeight="1" x14ac:dyDescent="0.2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212"/>
      <c r="Q700" s="9"/>
      <c r="R700" s="9"/>
      <c r="S700" s="9"/>
      <c r="T700" s="9"/>
      <c r="U700" s="9"/>
      <c r="V700" s="9"/>
      <c r="W700" s="9"/>
      <c r="X700" s="9"/>
      <c r="Y700" s="9"/>
      <c r="Z700" s="9"/>
      <c r="AA700" s="9"/>
      <c r="AB700" s="212"/>
      <c r="AC700" s="9"/>
      <c r="AD700" s="9"/>
      <c r="AE700" s="10"/>
      <c r="AF700" s="10"/>
      <c r="AG700" s="10"/>
      <c r="AH700" s="10"/>
      <c r="AI700" s="10"/>
      <c r="AJ700" s="10"/>
      <c r="AK700" s="10"/>
      <c r="AL700" s="10"/>
      <c r="AM700" s="10"/>
    </row>
    <row r="701" spans="1:39" ht="15.75" customHeight="1" x14ac:dyDescent="0.2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212"/>
      <c r="Q701" s="9"/>
      <c r="R701" s="9"/>
      <c r="S701" s="9"/>
      <c r="T701" s="9"/>
      <c r="U701" s="9"/>
      <c r="V701" s="9"/>
      <c r="W701" s="9"/>
      <c r="X701" s="9"/>
      <c r="Y701" s="9"/>
      <c r="Z701" s="9"/>
      <c r="AA701" s="9"/>
      <c r="AB701" s="212"/>
      <c r="AC701" s="9"/>
      <c r="AD701" s="9"/>
      <c r="AE701" s="10"/>
      <c r="AF701" s="10"/>
      <c r="AG701" s="10"/>
      <c r="AH701" s="10"/>
      <c r="AI701" s="10"/>
      <c r="AJ701" s="10"/>
      <c r="AK701" s="10"/>
      <c r="AL701" s="10"/>
      <c r="AM701" s="10"/>
    </row>
    <row r="702" spans="1:39" ht="15.75" customHeight="1" x14ac:dyDescent="0.2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212"/>
      <c r="Q702" s="9"/>
      <c r="R702" s="9"/>
      <c r="S702" s="9"/>
      <c r="T702" s="9"/>
      <c r="U702" s="9"/>
      <c r="V702" s="9"/>
      <c r="W702" s="9"/>
      <c r="X702" s="9"/>
      <c r="Y702" s="9"/>
      <c r="Z702" s="9"/>
      <c r="AA702" s="9"/>
      <c r="AB702" s="212"/>
      <c r="AC702" s="9"/>
      <c r="AD702" s="9"/>
      <c r="AE702" s="10"/>
      <c r="AF702" s="10"/>
      <c r="AG702" s="10"/>
      <c r="AH702" s="10"/>
      <c r="AI702" s="10"/>
      <c r="AJ702" s="10"/>
      <c r="AK702" s="10"/>
      <c r="AL702" s="10"/>
      <c r="AM702" s="10"/>
    </row>
    <row r="703" spans="1:39" ht="15.75" customHeight="1" x14ac:dyDescent="0.2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212"/>
      <c r="Q703" s="9"/>
      <c r="R703" s="9"/>
      <c r="S703" s="9"/>
      <c r="T703" s="9"/>
      <c r="U703" s="9"/>
      <c r="V703" s="9"/>
      <c r="W703" s="9"/>
      <c r="X703" s="9"/>
      <c r="Y703" s="9"/>
      <c r="Z703" s="9"/>
      <c r="AA703" s="9"/>
      <c r="AB703" s="212"/>
      <c r="AC703" s="9"/>
      <c r="AD703" s="9"/>
      <c r="AE703" s="10"/>
      <c r="AF703" s="10"/>
      <c r="AG703" s="10"/>
      <c r="AH703" s="10"/>
      <c r="AI703" s="10"/>
      <c r="AJ703" s="10"/>
      <c r="AK703" s="10"/>
      <c r="AL703" s="10"/>
      <c r="AM703" s="10"/>
    </row>
    <row r="704" spans="1:39" ht="15.75" customHeight="1" x14ac:dyDescent="0.2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212"/>
      <c r="Q704" s="9"/>
      <c r="R704" s="9"/>
      <c r="S704" s="9"/>
      <c r="T704" s="9"/>
      <c r="U704" s="9"/>
      <c r="V704" s="9"/>
      <c r="W704" s="9"/>
      <c r="X704" s="9"/>
      <c r="Y704" s="9"/>
      <c r="Z704" s="9"/>
      <c r="AA704" s="9"/>
      <c r="AB704" s="212"/>
      <c r="AC704" s="9"/>
      <c r="AD704" s="9"/>
      <c r="AE704" s="10"/>
      <c r="AF704" s="10"/>
      <c r="AG704" s="10"/>
      <c r="AH704" s="10"/>
      <c r="AI704" s="10"/>
      <c r="AJ704" s="10"/>
      <c r="AK704" s="10"/>
      <c r="AL704" s="10"/>
      <c r="AM704" s="10"/>
    </row>
    <row r="705" spans="1:39" ht="15.75" customHeight="1" x14ac:dyDescent="0.2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212"/>
      <c r="Q705" s="9"/>
      <c r="R705" s="9"/>
      <c r="S705" s="9"/>
      <c r="T705" s="9"/>
      <c r="U705" s="9"/>
      <c r="V705" s="9"/>
      <c r="W705" s="9"/>
      <c r="X705" s="9"/>
      <c r="Y705" s="9"/>
      <c r="Z705" s="9"/>
      <c r="AA705" s="9"/>
      <c r="AB705" s="212"/>
      <c r="AC705" s="9"/>
      <c r="AD705" s="9"/>
      <c r="AE705" s="10"/>
      <c r="AF705" s="10"/>
      <c r="AG705" s="10"/>
      <c r="AH705" s="10"/>
      <c r="AI705" s="10"/>
      <c r="AJ705" s="10"/>
      <c r="AK705" s="10"/>
      <c r="AL705" s="10"/>
      <c r="AM705" s="10"/>
    </row>
    <row r="706" spans="1:39" ht="15.75" customHeight="1" x14ac:dyDescent="0.2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212"/>
      <c r="Q706" s="9"/>
      <c r="R706" s="9"/>
      <c r="S706" s="9"/>
      <c r="T706" s="9"/>
      <c r="U706" s="9"/>
      <c r="V706" s="9"/>
      <c r="W706" s="9"/>
      <c r="X706" s="9"/>
      <c r="Y706" s="9"/>
      <c r="Z706" s="9"/>
      <c r="AA706" s="9"/>
      <c r="AB706" s="212"/>
      <c r="AC706" s="9"/>
      <c r="AD706" s="9"/>
      <c r="AE706" s="10"/>
      <c r="AF706" s="10"/>
      <c r="AG706" s="10"/>
      <c r="AH706" s="10"/>
      <c r="AI706" s="10"/>
      <c r="AJ706" s="10"/>
      <c r="AK706" s="10"/>
      <c r="AL706" s="10"/>
      <c r="AM706" s="10"/>
    </row>
    <row r="707" spans="1:39" ht="15.75" customHeight="1" x14ac:dyDescent="0.2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212"/>
      <c r="Q707" s="9"/>
      <c r="R707" s="9"/>
      <c r="S707" s="9"/>
      <c r="T707" s="9"/>
      <c r="U707" s="9"/>
      <c r="V707" s="9"/>
      <c r="W707" s="9"/>
      <c r="X707" s="9"/>
      <c r="Y707" s="9"/>
      <c r="Z707" s="9"/>
      <c r="AA707" s="9"/>
      <c r="AB707" s="212"/>
      <c r="AC707" s="9"/>
      <c r="AD707" s="9"/>
      <c r="AE707" s="10"/>
      <c r="AF707" s="10"/>
      <c r="AG707" s="10"/>
      <c r="AH707" s="10"/>
      <c r="AI707" s="10"/>
      <c r="AJ707" s="10"/>
      <c r="AK707" s="10"/>
      <c r="AL707" s="10"/>
      <c r="AM707" s="10"/>
    </row>
    <row r="708" spans="1:39" ht="15.75" customHeight="1" x14ac:dyDescent="0.2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212"/>
      <c r="Q708" s="9"/>
      <c r="R708" s="9"/>
      <c r="S708" s="9"/>
      <c r="T708" s="9"/>
      <c r="U708" s="9"/>
      <c r="V708" s="9"/>
      <c r="W708" s="9"/>
      <c r="X708" s="9"/>
      <c r="Y708" s="9"/>
      <c r="Z708" s="9"/>
      <c r="AA708" s="9"/>
      <c r="AB708" s="212"/>
      <c r="AC708" s="9"/>
      <c r="AD708" s="9"/>
      <c r="AE708" s="10"/>
      <c r="AF708" s="10"/>
      <c r="AG708" s="10"/>
      <c r="AH708" s="10"/>
      <c r="AI708" s="10"/>
      <c r="AJ708" s="10"/>
      <c r="AK708" s="10"/>
      <c r="AL708" s="10"/>
      <c r="AM708" s="10"/>
    </row>
    <row r="709" spans="1:39" ht="15.75" customHeight="1" x14ac:dyDescent="0.2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212"/>
      <c r="Q709" s="9"/>
      <c r="R709" s="9"/>
      <c r="S709" s="9"/>
      <c r="T709" s="9"/>
      <c r="U709" s="9"/>
      <c r="V709" s="9"/>
      <c r="W709" s="9"/>
      <c r="X709" s="9"/>
      <c r="Y709" s="9"/>
      <c r="Z709" s="9"/>
      <c r="AA709" s="9"/>
      <c r="AB709" s="212"/>
      <c r="AC709" s="9"/>
      <c r="AD709" s="9"/>
      <c r="AE709" s="10"/>
      <c r="AF709" s="10"/>
      <c r="AG709" s="10"/>
      <c r="AH709" s="10"/>
      <c r="AI709" s="10"/>
      <c r="AJ709" s="10"/>
      <c r="AK709" s="10"/>
      <c r="AL709" s="10"/>
      <c r="AM709" s="10"/>
    </row>
    <row r="710" spans="1:39" ht="15.75" customHeight="1" x14ac:dyDescent="0.2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212"/>
      <c r="Q710" s="9"/>
      <c r="R710" s="9"/>
      <c r="S710" s="9"/>
      <c r="T710" s="9"/>
      <c r="U710" s="9"/>
      <c r="V710" s="9"/>
      <c r="W710" s="9"/>
      <c r="X710" s="9"/>
      <c r="Y710" s="9"/>
      <c r="Z710" s="9"/>
      <c r="AA710" s="9"/>
      <c r="AB710" s="212"/>
      <c r="AC710" s="9"/>
      <c r="AD710" s="9"/>
      <c r="AE710" s="10"/>
      <c r="AF710" s="10"/>
      <c r="AG710" s="10"/>
      <c r="AH710" s="10"/>
      <c r="AI710" s="10"/>
      <c r="AJ710" s="10"/>
      <c r="AK710" s="10"/>
      <c r="AL710" s="10"/>
      <c r="AM710" s="10"/>
    </row>
    <row r="711" spans="1:39" ht="15.75" customHeight="1" x14ac:dyDescent="0.2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212"/>
      <c r="Q711" s="9"/>
      <c r="R711" s="9"/>
      <c r="S711" s="9"/>
      <c r="T711" s="9"/>
      <c r="U711" s="9"/>
      <c r="V711" s="9"/>
      <c r="W711" s="9"/>
      <c r="X711" s="9"/>
      <c r="Y711" s="9"/>
      <c r="Z711" s="9"/>
      <c r="AA711" s="9"/>
      <c r="AB711" s="212"/>
      <c r="AC711" s="9"/>
      <c r="AD711" s="9"/>
      <c r="AE711" s="10"/>
      <c r="AF711" s="10"/>
      <c r="AG711" s="10"/>
      <c r="AH711" s="10"/>
      <c r="AI711" s="10"/>
      <c r="AJ711" s="10"/>
      <c r="AK711" s="10"/>
      <c r="AL711" s="10"/>
      <c r="AM711" s="10"/>
    </row>
    <row r="712" spans="1:39" ht="15.75" customHeight="1" x14ac:dyDescent="0.2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212"/>
      <c r="Q712" s="9"/>
      <c r="R712" s="9"/>
      <c r="S712" s="9"/>
      <c r="T712" s="9"/>
      <c r="U712" s="9"/>
      <c r="V712" s="9"/>
      <c r="W712" s="9"/>
      <c r="X712" s="9"/>
      <c r="Y712" s="9"/>
      <c r="Z712" s="9"/>
      <c r="AA712" s="9"/>
      <c r="AB712" s="212"/>
      <c r="AC712" s="9"/>
      <c r="AD712" s="9"/>
      <c r="AE712" s="10"/>
      <c r="AF712" s="10"/>
      <c r="AG712" s="10"/>
      <c r="AH712" s="10"/>
      <c r="AI712" s="10"/>
      <c r="AJ712" s="10"/>
      <c r="AK712" s="10"/>
      <c r="AL712" s="10"/>
      <c r="AM712" s="10"/>
    </row>
    <row r="713" spans="1:39" ht="15.75" customHeight="1" x14ac:dyDescent="0.2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212"/>
      <c r="Q713" s="9"/>
      <c r="R713" s="9"/>
      <c r="S713" s="9"/>
      <c r="T713" s="9"/>
      <c r="U713" s="9"/>
      <c r="V713" s="9"/>
      <c r="W713" s="9"/>
      <c r="X713" s="9"/>
      <c r="Y713" s="9"/>
      <c r="Z713" s="9"/>
      <c r="AA713" s="9"/>
      <c r="AB713" s="212"/>
      <c r="AC713" s="9"/>
      <c r="AD713" s="9"/>
      <c r="AE713" s="10"/>
      <c r="AF713" s="10"/>
      <c r="AG713" s="10"/>
      <c r="AH713" s="10"/>
      <c r="AI713" s="10"/>
      <c r="AJ713" s="10"/>
      <c r="AK713" s="10"/>
      <c r="AL713" s="10"/>
      <c r="AM713" s="10"/>
    </row>
    <row r="714" spans="1:39" ht="15.75" customHeight="1" x14ac:dyDescent="0.2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212"/>
      <c r="Q714" s="9"/>
      <c r="R714" s="9"/>
      <c r="S714" s="9"/>
      <c r="T714" s="9"/>
      <c r="U714" s="9"/>
      <c r="V714" s="9"/>
      <c r="W714" s="9"/>
      <c r="X714" s="9"/>
      <c r="Y714" s="9"/>
      <c r="Z714" s="9"/>
      <c r="AA714" s="9"/>
      <c r="AB714" s="212"/>
      <c r="AC714" s="9"/>
      <c r="AD714" s="9"/>
      <c r="AE714" s="10"/>
      <c r="AF714" s="10"/>
      <c r="AG714" s="10"/>
      <c r="AH714" s="10"/>
      <c r="AI714" s="10"/>
      <c r="AJ714" s="10"/>
      <c r="AK714" s="10"/>
      <c r="AL714" s="10"/>
      <c r="AM714" s="10"/>
    </row>
    <row r="715" spans="1:39" ht="15.75" customHeight="1" x14ac:dyDescent="0.2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212"/>
      <c r="Q715" s="9"/>
      <c r="R715" s="9"/>
      <c r="S715" s="9"/>
      <c r="T715" s="9"/>
      <c r="U715" s="9"/>
      <c r="V715" s="9"/>
      <c r="W715" s="9"/>
      <c r="X715" s="9"/>
      <c r="Y715" s="9"/>
      <c r="Z715" s="9"/>
      <c r="AA715" s="9"/>
      <c r="AB715" s="212"/>
      <c r="AC715" s="9"/>
      <c r="AD715" s="9"/>
      <c r="AE715" s="10"/>
      <c r="AF715" s="10"/>
      <c r="AG715" s="10"/>
      <c r="AH715" s="10"/>
      <c r="AI715" s="10"/>
      <c r="AJ715" s="10"/>
      <c r="AK715" s="10"/>
      <c r="AL715" s="10"/>
      <c r="AM715" s="10"/>
    </row>
    <row r="716" spans="1:39" ht="15.75" customHeight="1" x14ac:dyDescent="0.2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212"/>
      <c r="Q716" s="9"/>
      <c r="R716" s="9"/>
      <c r="S716" s="9"/>
      <c r="T716" s="9"/>
      <c r="U716" s="9"/>
      <c r="V716" s="9"/>
      <c r="W716" s="9"/>
      <c r="X716" s="9"/>
      <c r="Y716" s="9"/>
      <c r="Z716" s="9"/>
      <c r="AA716" s="9"/>
      <c r="AB716" s="212"/>
      <c r="AC716" s="9"/>
      <c r="AD716" s="9"/>
      <c r="AE716" s="10"/>
      <c r="AF716" s="10"/>
      <c r="AG716" s="10"/>
      <c r="AH716" s="10"/>
      <c r="AI716" s="10"/>
      <c r="AJ716" s="10"/>
      <c r="AK716" s="10"/>
      <c r="AL716" s="10"/>
      <c r="AM716" s="10"/>
    </row>
    <row r="717" spans="1:39" ht="15.75" customHeight="1" x14ac:dyDescent="0.2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212"/>
      <c r="Q717" s="9"/>
      <c r="R717" s="9"/>
      <c r="S717" s="9"/>
      <c r="T717" s="9"/>
      <c r="U717" s="9"/>
      <c r="V717" s="9"/>
      <c r="W717" s="9"/>
      <c r="X717" s="9"/>
      <c r="Y717" s="9"/>
      <c r="Z717" s="9"/>
      <c r="AA717" s="9"/>
      <c r="AB717" s="212"/>
      <c r="AC717" s="9"/>
      <c r="AD717" s="9"/>
      <c r="AE717" s="10"/>
      <c r="AF717" s="10"/>
      <c r="AG717" s="10"/>
      <c r="AH717" s="10"/>
      <c r="AI717" s="10"/>
      <c r="AJ717" s="10"/>
      <c r="AK717" s="10"/>
      <c r="AL717" s="10"/>
      <c r="AM717" s="10"/>
    </row>
    <row r="718" spans="1:39" ht="15.75" customHeight="1" x14ac:dyDescent="0.2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212"/>
      <c r="Q718" s="9"/>
      <c r="R718" s="9"/>
      <c r="S718" s="9"/>
      <c r="T718" s="9"/>
      <c r="U718" s="9"/>
      <c r="V718" s="9"/>
      <c r="W718" s="9"/>
      <c r="X718" s="9"/>
      <c r="Y718" s="9"/>
      <c r="Z718" s="9"/>
      <c r="AA718" s="9"/>
      <c r="AB718" s="212"/>
      <c r="AC718" s="9"/>
      <c r="AD718" s="9"/>
      <c r="AE718" s="10"/>
      <c r="AF718" s="10"/>
      <c r="AG718" s="10"/>
      <c r="AH718" s="10"/>
      <c r="AI718" s="10"/>
      <c r="AJ718" s="10"/>
      <c r="AK718" s="10"/>
      <c r="AL718" s="10"/>
      <c r="AM718" s="10"/>
    </row>
    <row r="719" spans="1:39" ht="15.75" customHeight="1" x14ac:dyDescent="0.2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212"/>
      <c r="Q719" s="9"/>
      <c r="R719" s="9"/>
      <c r="S719" s="9"/>
      <c r="T719" s="9"/>
      <c r="U719" s="9"/>
      <c r="V719" s="9"/>
      <c r="W719" s="9"/>
      <c r="X719" s="9"/>
      <c r="Y719" s="9"/>
      <c r="Z719" s="9"/>
      <c r="AA719" s="9"/>
      <c r="AB719" s="212"/>
      <c r="AC719" s="9"/>
      <c r="AD719" s="9"/>
      <c r="AE719" s="10"/>
      <c r="AF719" s="10"/>
      <c r="AG719" s="10"/>
      <c r="AH719" s="10"/>
      <c r="AI719" s="10"/>
      <c r="AJ719" s="10"/>
      <c r="AK719" s="10"/>
      <c r="AL719" s="10"/>
      <c r="AM719" s="10"/>
    </row>
    <row r="720" spans="1:39" ht="15.75" customHeight="1" x14ac:dyDescent="0.2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212"/>
      <c r="Q720" s="9"/>
      <c r="R720" s="9"/>
      <c r="S720" s="9"/>
      <c r="T720" s="9"/>
      <c r="U720" s="9"/>
      <c r="V720" s="9"/>
      <c r="W720" s="9"/>
      <c r="X720" s="9"/>
      <c r="Y720" s="9"/>
      <c r="Z720" s="9"/>
      <c r="AA720" s="9"/>
      <c r="AB720" s="212"/>
      <c r="AC720" s="9"/>
      <c r="AD720" s="9"/>
      <c r="AE720" s="10"/>
      <c r="AF720" s="10"/>
      <c r="AG720" s="10"/>
      <c r="AH720" s="10"/>
      <c r="AI720" s="10"/>
      <c r="AJ720" s="10"/>
      <c r="AK720" s="10"/>
      <c r="AL720" s="10"/>
      <c r="AM720" s="10"/>
    </row>
    <row r="721" spans="1:39" ht="15.75" customHeight="1" x14ac:dyDescent="0.2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212"/>
      <c r="Q721" s="9"/>
      <c r="R721" s="9"/>
      <c r="S721" s="9"/>
      <c r="T721" s="9"/>
      <c r="U721" s="9"/>
      <c r="V721" s="9"/>
      <c r="W721" s="9"/>
      <c r="X721" s="9"/>
      <c r="Y721" s="9"/>
      <c r="Z721" s="9"/>
      <c r="AA721" s="9"/>
      <c r="AB721" s="212"/>
      <c r="AC721" s="9"/>
      <c r="AD721" s="9"/>
      <c r="AE721" s="10"/>
      <c r="AF721" s="10"/>
      <c r="AG721" s="10"/>
      <c r="AH721" s="10"/>
      <c r="AI721" s="10"/>
      <c r="AJ721" s="10"/>
      <c r="AK721" s="10"/>
      <c r="AL721" s="10"/>
      <c r="AM721" s="10"/>
    </row>
    <row r="722" spans="1:39" ht="15.75" customHeight="1" x14ac:dyDescent="0.2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212"/>
      <c r="Q722" s="9"/>
      <c r="R722" s="9"/>
      <c r="S722" s="9"/>
      <c r="T722" s="9"/>
      <c r="U722" s="9"/>
      <c r="V722" s="9"/>
      <c r="W722" s="9"/>
      <c r="X722" s="9"/>
      <c r="Y722" s="9"/>
      <c r="Z722" s="9"/>
      <c r="AA722" s="9"/>
      <c r="AB722" s="212"/>
      <c r="AC722" s="9"/>
      <c r="AD722" s="9"/>
      <c r="AE722" s="10"/>
      <c r="AF722" s="10"/>
      <c r="AG722" s="10"/>
      <c r="AH722" s="10"/>
      <c r="AI722" s="10"/>
      <c r="AJ722" s="10"/>
      <c r="AK722" s="10"/>
      <c r="AL722" s="10"/>
      <c r="AM722" s="10"/>
    </row>
    <row r="723" spans="1:39" ht="15.75" customHeight="1" x14ac:dyDescent="0.2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212"/>
      <c r="Q723" s="9"/>
      <c r="R723" s="9"/>
      <c r="S723" s="9"/>
      <c r="T723" s="9"/>
      <c r="U723" s="9"/>
      <c r="V723" s="9"/>
      <c r="W723" s="9"/>
      <c r="X723" s="9"/>
      <c r="Y723" s="9"/>
      <c r="Z723" s="9"/>
      <c r="AA723" s="9"/>
      <c r="AB723" s="212"/>
      <c r="AC723" s="9"/>
      <c r="AD723" s="9"/>
      <c r="AE723" s="10"/>
      <c r="AF723" s="10"/>
      <c r="AG723" s="10"/>
      <c r="AH723" s="10"/>
      <c r="AI723" s="10"/>
      <c r="AJ723" s="10"/>
      <c r="AK723" s="10"/>
      <c r="AL723" s="10"/>
      <c r="AM723" s="10"/>
    </row>
    <row r="724" spans="1:39" ht="15.75" customHeight="1" x14ac:dyDescent="0.2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212"/>
      <c r="Q724" s="9"/>
      <c r="R724" s="9"/>
      <c r="S724" s="9"/>
      <c r="T724" s="9"/>
      <c r="U724" s="9"/>
      <c r="V724" s="9"/>
      <c r="W724" s="9"/>
      <c r="X724" s="9"/>
      <c r="Y724" s="9"/>
      <c r="Z724" s="9"/>
      <c r="AA724" s="9"/>
      <c r="AB724" s="212"/>
      <c r="AC724" s="9"/>
      <c r="AD724" s="9"/>
      <c r="AE724" s="10"/>
      <c r="AF724" s="10"/>
      <c r="AG724" s="10"/>
      <c r="AH724" s="10"/>
      <c r="AI724" s="10"/>
      <c r="AJ724" s="10"/>
      <c r="AK724" s="10"/>
      <c r="AL724" s="10"/>
      <c r="AM724" s="10"/>
    </row>
    <row r="725" spans="1:39" ht="15.75" customHeight="1" x14ac:dyDescent="0.2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212"/>
      <c r="Q725" s="9"/>
      <c r="R725" s="9"/>
      <c r="S725" s="9"/>
      <c r="T725" s="9"/>
      <c r="U725" s="9"/>
      <c r="V725" s="9"/>
      <c r="W725" s="9"/>
      <c r="X725" s="9"/>
      <c r="Y725" s="9"/>
      <c r="Z725" s="9"/>
      <c r="AA725" s="9"/>
      <c r="AB725" s="212"/>
      <c r="AC725" s="9"/>
      <c r="AD725" s="9"/>
      <c r="AE725" s="10"/>
      <c r="AF725" s="10"/>
      <c r="AG725" s="10"/>
      <c r="AH725" s="10"/>
      <c r="AI725" s="10"/>
      <c r="AJ725" s="10"/>
      <c r="AK725" s="10"/>
      <c r="AL725" s="10"/>
      <c r="AM725" s="10"/>
    </row>
    <row r="726" spans="1:39" ht="15.75" customHeight="1" x14ac:dyDescent="0.2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212"/>
      <c r="Q726" s="9"/>
      <c r="R726" s="9"/>
      <c r="S726" s="9"/>
      <c r="T726" s="9"/>
      <c r="U726" s="9"/>
      <c r="V726" s="9"/>
      <c r="W726" s="9"/>
      <c r="X726" s="9"/>
      <c r="Y726" s="9"/>
      <c r="Z726" s="9"/>
      <c r="AA726" s="9"/>
      <c r="AB726" s="212"/>
      <c r="AC726" s="9"/>
      <c r="AD726" s="9"/>
      <c r="AE726" s="10"/>
      <c r="AF726" s="10"/>
      <c r="AG726" s="10"/>
      <c r="AH726" s="10"/>
      <c r="AI726" s="10"/>
      <c r="AJ726" s="10"/>
      <c r="AK726" s="10"/>
      <c r="AL726" s="10"/>
      <c r="AM726" s="10"/>
    </row>
    <row r="727" spans="1:39" ht="15.75" customHeight="1" x14ac:dyDescent="0.2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212"/>
      <c r="Q727" s="9"/>
      <c r="R727" s="9"/>
      <c r="S727" s="9"/>
      <c r="T727" s="9"/>
      <c r="U727" s="9"/>
      <c r="V727" s="9"/>
      <c r="W727" s="9"/>
      <c r="X727" s="9"/>
      <c r="Y727" s="9"/>
      <c r="Z727" s="9"/>
      <c r="AA727" s="9"/>
      <c r="AB727" s="212"/>
      <c r="AC727" s="9"/>
      <c r="AD727" s="9"/>
      <c r="AE727" s="10"/>
      <c r="AF727" s="10"/>
      <c r="AG727" s="10"/>
      <c r="AH727" s="10"/>
      <c r="AI727" s="10"/>
      <c r="AJ727" s="10"/>
      <c r="AK727" s="10"/>
      <c r="AL727" s="10"/>
      <c r="AM727" s="10"/>
    </row>
    <row r="728" spans="1:39" ht="15.75" customHeight="1" x14ac:dyDescent="0.2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212"/>
      <c r="Q728" s="9"/>
      <c r="R728" s="9"/>
      <c r="S728" s="9"/>
      <c r="T728" s="9"/>
      <c r="U728" s="9"/>
      <c r="V728" s="9"/>
      <c r="W728" s="9"/>
      <c r="X728" s="9"/>
      <c r="Y728" s="9"/>
      <c r="Z728" s="9"/>
      <c r="AA728" s="9"/>
      <c r="AB728" s="212"/>
      <c r="AC728" s="9"/>
      <c r="AD728" s="9"/>
      <c r="AE728" s="10"/>
      <c r="AF728" s="10"/>
      <c r="AG728" s="10"/>
      <c r="AH728" s="10"/>
      <c r="AI728" s="10"/>
      <c r="AJ728" s="10"/>
      <c r="AK728" s="10"/>
      <c r="AL728" s="10"/>
      <c r="AM728" s="10"/>
    </row>
    <row r="729" spans="1:39" ht="15.75" customHeight="1" x14ac:dyDescent="0.2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212"/>
      <c r="Q729" s="9"/>
      <c r="R729" s="9"/>
      <c r="S729" s="9"/>
      <c r="T729" s="9"/>
      <c r="U729" s="9"/>
      <c r="V729" s="9"/>
      <c r="W729" s="9"/>
      <c r="X729" s="9"/>
      <c r="Y729" s="9"/>
      <c r="Z729" s="9"/>
      <c r="AA729" s="9"/>
      <c r="AB729" s="212"/>
      <c r="AC729" s="9"/>
      <c r="AD729" s="9"/>
      <c r="AE729" s="10"/>
      <c r="AF729" s="10"/>
      <c r="AG729" s="10"/>
      <c r="AH729" s="10"/>
      <c r="AI729" s="10"/>
      <c r="AJ729" s="10"/>
      <c r="AK729" s="10"/>
      <c r="AL729" s="10"/>
      <c r="AM729" s="10"/>
    </row>
    <row r="730" spans="1:39" ht="15.75" customHeight="1" x14ac:dyDescent="0.2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212"/>
      <c r="Q730" s="9"/>
      <c r="R730" s="9"/>
      <c r="S730" s="9"/>
      <c r="T730" s="9"/>
      <c r="U730" s="9"/>
      <c r="V730" s="9"/>
      <c r="W730" s="9"/>
      <c r="X730" s="9"/>
      <c r="Y730" s="9"/>
      <c r="Z730" s="9"/>
      <c r="AA730" s="9"/>
      <c r="AB730" s="212"/>
      <c r="AC730" s="9"/>
      <c r="AD730" s="9"/>
      <c r="AE730" s="10"/>
      <c r="AF730" s="10"/>
      <c r="AG730" s="10"/>
      <c r="AH730" s="10"/>
      <c r="AI730" s="10"/>
      <c r="AJ730" s="10"/>
      <c r="AK730" s="10"/>
      <c r="AL730" s="10"/>
      <c r="AM730" s="10"/>
    </row>
    <row r="731" spans="1:39" ht="15.75" customHeight="1" x14ac:dyDescent="0.2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212"/>
      <c r="Q731" s="9"/>
      <c r="R731" s="9"/>
      <c r="S731" s="9"/>
      <c r="T731" s="9"/>
      <c r="U731" s="9"/>
      <c r="V731" s="9"/>
      <c r="W731" s="9"/>
      <c r="X731" s="9"/>
      <c r="Y731" s="9"/>
      <c r="Z731" s="9"/>
      <c r="AA731" s="9"/>
      <c r="AB731" s="212"/>
      <c r="AC731" s="9"/>
      <c r="AD731" s="9"/>
      <c r="AE731" s="10"/>
      <c r="AF731" s="10"/>
      <c r="AG731" s="10"/>
      <c r="AH731" s="10"/>
      <c r="AI731" s="10"/>
      <c r="AJ731" s="10"/>
      <c r="AK731" s="10"/>
      <c r="AL731" s="10"/>
      <c r="AM731" s="10"/>
    </row>
    <row r="732" spans="1:39" ht="15.75" customHeight="1" x14ac:dyDescent="0.2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212"/>
      <c r="Q732" s="9"/>
      <c r="R732" s="9"/>
      <c r="S732" s="9"/>
      <c r="T732" s="9"/>
      <c r="U732" s="9"/>
      <c r="V732" s="9"/>
      <c r="W732" s="9"/>
      <c r="X732" s="9"/>
      <c r="Y732" s="9"/>
      <c r="Z732" s="9"/>
      <c r="AA732" s="9"/>
      <c r="AB732" s="212"/>
      <c r="AC732" s="9"/>
      <c r="AD732" s="9"/>
      <c r="AE732" s="10"/>
      <c r="AF732" s="10"/>
      <c r="AG732" s="10"/>
      <c r="AH732" s="10"/>
      <c r="AI732" s="10"/>
      <c r="AJ732" s="10"/>
      <c r="AK732" s="10"/>
      <c r="AL732" s="10"/>
      <c r="AM732" s="10"/>
    </row>
    <row r="733" spans="1:39" ht="15.75" customHeight="1" x14ac:dyDescent="0.2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212"/>
      <c r="Q733" s="9"/>
      <c r="R733" s="9"/>
      <c r="S733" s="9"/>
      <c r="T733" s="9"/>
      <c r="U733" s="9"/>
      <c r="V733" s="9"/>
      <c r="W733" s="9"/>
      <c r="X733" s="9"/>
      <c r="Y733" s="9"/>
      <c r="Z733" s="9"/>
      <c r="AA733" s="9"/>
      <c r="AB733" s="212"/>
      <c r="AC733" s="9"/>
      <c r="AD733" s="9"/>
      <c r="AE733" s="10"/>
      <c r="AF733" s="10"/>
      <c r="AG733" s="10"/>
      <c r="AH733" s="10"/>
      <c r="AI733" s="10"/>
      <c r="AJ733" s="10"/>
      <c r="AK733" s="10"/>
      <c r="AL733" s="10"/>
      <c r="AM733" s="10"/>
    </row>
    <row r="734" spans="1:39" ht="15.75" customHeight="1" x14ac:dyDescent="0.2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212"/>
      <c r="Q734" s="9"/>
      <c r="R734" s="9"/>
      <c r="S734" s="9"/>
      <c r="T734" s="9"/>
      <c r="U734" s="9"/>
      <c r="V734" s="9"/>
      <c r="W734" s="9"/>
      <c r="X734" s="9"/>
      <c r="Y734" s="9"/>
      <c r="Z734" s="9"/>
      <c r="AA734" s="9"/>
      <c r="AB734" s="212"/>
      <c r="AC734" s="9"/>
      <c r="AD734" s="9"/>
      <c r="AE734" s="10"/>
      <c r="AF734" s="10"/>
      <c r="AG734" s="10"/>
      <c r="AH734" s="10"/>
      <c r="AI734" s="10"/>
      <c r="AJ734" s="10"/>
      <c r="AK734" s="10"/>
      <c r="AL734" s="10"/>
      <c r="AM734" s="10"/>
    </row>
    <row r="735" spans="1:39" ht="15.75" customHeight="1" x14ac:dyDescent="0.2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212"/>
      <c r="Q735" s="9"/>
      <c r="R735" s="9"/>
      <c r="S735" s="9"/>
      <c r="T735" s="9"/>
      <c r="U735" s="9"/>
      <c r="V735" s="9"/>
      <c r="W735" s="9"/>
      <c r="X735" s="9"/>
      <c r="Y735" s="9"/>
      <c r="Z735" s="9"/>
      <c r="AA735" s="9"/>
      <c r="AB735" s="212"/>
      <c r="AC735" s="9"/>
      <c r="AD735" s="9"/>
      <c r="AE735" s="10"/>
      <c r="AF735" s="10"/>
      <c r="AG735" s="10"/>
      <c r="AH735" s="10"/>
      <c r="AI735" s="10"/>
      <c r="AJ735" s="10"/>
      <c r="AK735" s="10"/>
      <c r="AL735" s="10"/>
      <c r="AM735" s="10"/>
    </row>
    <row r="736" spans="1:39" ht="15.75" customHeight="1" x14ac:dyDescent="0.2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212"/>
      <c r="Q736" s="9"/>
      <c r="R736" s="9"/>
      <c r="S736" s="9"/>
      <c r="T736" s="9"/>
      <c r="U736" s="9"/>
      <c r="V736" s="9"/>
      <c r="W736" s="9"/>
      <c r="X736" s="9"/>
      <c r="Y736" s="9"/>
      <c r="Z736" s="9"/>
      <c r="AA736" s="9"/>
      <c r="AB736" s="212"/>
      <c r="AC736" s="9"/>
      <c r="AD736" s="9"/>
      <c r="AE736" s="10"/>
      <c r="AF736" s="10"/>
      <c r="AG736" s="10"/>
      <c r="AH736" s="10"/>
      <c r="AI736" s="10"/>
      <c r="AJ736" s="10"/>
      <c r="AK736" s="10"/>
      <c r="AL736" s="10"/>
      <c r="AM736" s="10"/>
    </row>
    <row r="737" spans="1:39" ht="15.75" customHeight="1" x14ac:dyDescent="0.2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212"/>
      <c r="Q737" s="9"/>
      <c r="R737" s="9"/>
      <c r="S737" s="9"/>
      <c r="T737" s="9"/>
      <c r="U737" s="9"/>
      <c r="V737" s="9"/>
      <c r="W737" s="9"/>
      <c r="X737" s="9"/>
      <c r="Y737" s="9"/>
      <c r="Z737" s="9"/>
      <c r="AA737" s="9"/>
      <c r="AB737" s="212"/>
      <c r="AC737" s="9"/>
      <c r="AD737" s="9"/>
      <c r="AE737" s="10"/>
      <c r="AF737" s="10"/>
      <c r="AG737" s="10"/>
      <c r="AH737" s="10"/>
      <c r="AI737" s="10"/>
      <c r="AJ737" s="10"/>
      <c r="AK737" s="10"/>
      <c r="AL737" s="10"/>
      <c r="AM737" s="10"/>
    </row>
    <row r="738" spans="1:39" ht="15.75" customHeight="1" x14ac:dyDescent="0.2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212"/>
      <c r="Q738" s="9"/>
      <c r="R738" s="9"/>
      <c r="S738" s="9"/>
      <c r="T738" s="9"/>
      <c r="U738" s="9"/>
      <c r="V738" s="9"/>
      <c r="W738" s="9"/>
      <c r="X738" s="9"/>
      <c r="Y738" s="9"/>
      <c r="Z738" s="9"/>
      <c r="AA738" s="9"/>
      <c r="AB738" s="212"/>
      <c r="AC738" s="9"/>
      <c r="AD738" s="9"/>
      <c r="AE738" s="10"/>
      <c r="AF738" s="10"/>
      <c r="AG738" s="10"/>
      <c r="AH738" s="10"/>
      <c r="AI738" s="10"/>
      <c r="AJ738" s="10"/>
      <c r="AK738" s="10"/>
      <c r="AL738" s="10"/>
      <c r="AM738" s="10"/>
    </row>
    <row r="739" spans="1:39" ht="15.75" customHeight="1" x14ac:dyDescent="0.2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212"/>
      <c r="Q739" s="9"/>
      <c r="R739" s="9"/>
      <c r="S739" s="9"/>
      <c r="T739" s="9"/>
      <c r="U739" s="9"/>
      <c r="V739" s="9"/>
      <c r="W739" s="9"/>
      <c r="X739" s="9"/>
      <c r="Y739" s="9"/>
      <c r="Z739" s="9"/>
      <c r="AA739" s="9"/>
      <c r="AB739" s="212"/>
      <c r="AC739" s="9"/>
      <c r="AD739" s="9"/>
      <c r="AE739" s="10"/>
      <c r="AF739" s="10"/>
      <c r="AG739" s="10"/>
      <c r="AH739" s="10"/>
      <c r="AI739" s="10"/>
      <c r="AJ739" s="10"/>
      <c r="AK739" s="10"/>
      <c r="AL739" s="10"/>
      <c r="AM739" s="10"/>
    </row>
    <row r="740" spans="1:39" ht="15.75" customHeight="1" x14ac:dyDescent="0.2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212"/>
      <c r="Q740" s="9"/>
      <c r="R740" s="9"/>
      <c r="S740" s="9"/>
      <c r="T740" s="9"/>
      <c r="U740" s="9"/>
      <c r="V740" s="9"/>
      <c r="W740" s="9"/>
      <c r="X740" s="9"/>
      <c r="Y740" s="9"/>
      <c r="Z740" s="9"/>
      <c r="AA740" s="9"/>
      <c r="AB740" s="212"/>
      <c r="AC740" s="9"/>
      <c r="AD740" s="9"/>
      <c r="AE740" s="10"/>
      <c r="AF740" s="10"/>
      <c r="AG740" s="10"/>
      <c r="AH740" s="10"/>
      <c r="AI740" s="10"/>
      <c r="AJ740" s="10"/>
      <c r="AK740" s="10"/>
      <c r="AL740" s="10"/>
      <c r="AM740" s="10"/>
    </row>
    <row r="741" spans="1:39" ht="15.75" customHeight="1" x14ac:dyDescent="0.2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212"/>
      <c r="Q741" s="9"/>
      <c r="R741" s="9"/>
      <c r="S741" s="9"/>
      <c r="T741" s="9"/>
      <c r="U741" s="9"/>
      <c r="V741" s="9"/>
      <c r="W741" s="9"/>
      <c r="X741" s="9"/>
      <c r="Y741" s="9"/>
      <c r="Z741" s="9"/>
      <c r="AA741" s="9"/>
      <c r="AB741" s="212"/>
      <c r="AC741" s="9"/>
      <c r="AD741" s="9"/>
      <c r="AE741" s="10"/>
      <c r="AF741" s="10"/>
      <c r="AG741" s="10"/>
      <c r="AH741" s="10"/>
      <c r="AI741" s="10"/>
      <c r="AJ741" s="10"/>
      <c r="AK741" s="10"/>
      <c r="AL741" s="10"/>
      <c r="AM741" s="10"/>
    </row>
    <row r="742" spans="1:39" ht="15.75" customHeight="1" x14ac:dyDescent="0.2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212"/>
      <c r="Q742" s="9"/>
      <c r="R742" s="9"/>
      <c r="S742" s="9"/>
      <c r="T742" s="9"/>
      <c r="U742" s="9"/>
      <c r="V742" s="9"/>
      <c r="W742" s="9"/>
      <c r="X742" s="9"/>
      <c r="Y742" s="9"/>
      <c r="Z742" s="9"/>
      <c r="AA742" s="9"/>
      <c r="AB742" s="212"/>
      <c r="AC742" s="9"/>
      <c r="AD742" s="9"/>
      <c r="AE742" s="10"/>
      <c r="AF742" s="10"/>
      <c r="AG742" s="10"/>
      <c r="AH742" s="10"/>
      <c r="AI742" s="10"/>
      <c r="AJ742" s="10"/>
      <c r="AK742" s="10"/>
      <c r="AL742" s="10"/>
      <c r="AM742" s="10"/>
    </row>
    <row r="743" spans="1:39" ht="15.75" customHeight="1" x14ac:dyDescent="0.2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212"/>
      <c r="Q743" s="9"/>
      <c r="R743" s="9"/>
      <c r="S743" s="9"/>
      <c r="T743" s="9"/>
      <c r="U743" s="9"/>
      <c r="V743" s="9"/>
      <c r="W743" s="9"/>
      <c r="X743" s="9"/>
      <c r="Y743" s="9"/>
      <c r="Z743" s="9"/>
      <c r="AA743" s="9"/>
      <c r="AB743" s="212"/>
      <c r="AC743" s="9"/>
      <c r="AD743" s="9"/>
      <c r="AE743" s="10"/>
      <c r="AF743" s="10"/>
      <c r="AG743" s="10"/>
      <c r="AH743" s="10"/>
      <c r="AI743" s="10"/>
      <c r="AJ743" s="10"/>
      <c r="AK743" s="10"/>
      <c r="AL743" s="10"/>
      <c r="AM743" s="10"/>
    </row>
    <row r="744" spans="1:39" ht="15.75" customHeight="1" x14ac:dyDescent="0.2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212"/>
      <c r="Q744" s="9"/>
      <c r="R744" s="9"/>
      <c r="S744" s="9"/>
      <c r="T744" s="9"/>
      <c r="U744" s="9"/>
      <c r="V744" s="9"/>
      <c r="W744" s="9"/>
      <c r="X744" s="9"/>
      <c r="Y744" s="9"/>
      <c r="Z744" s="9"/>
      <c r="AA744" s="9"/>
      <c r="AB744" s="212"/>
      <c r="AC744" s="9"/>
      <c r="AD744" s="9"/>
      <c r="AE744" s="10"/>
      <c r="AF744" s="10"/>
      <c r="AG744" s="10"/>
      <c r="AH744" s="10"/>
      <c r="AI744" s="10"/>
      <c r="AJ744" s="10"/>
      <c r="AK744" s="10"/>
      <c r="AL744" s="10"/>
      <c r="AM744" s="10"/>
    </row>
    <row r="745" spans="1:39" ht="15.75" customHeight="1" x14ac:dyDescent="0.2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212"/>
      <c r="Q745" s="9"/>
      <c r="R745" s="9"/>
      <c r="S745" s="9"/>
      <c r="T745" s="9"/>
      <c r="U745" s="9"/>
      <c r="V745" s="9"/>
      <c r="W745" s="9"/>
      <c r="X745" s="9"/>
      <c r="Y745" s="9"/>
      <c r="Z745" s="9"/>
      <c r="AA745" s="9"/>
      <c r="AB745" s="212"/>
      <c r="AC745" s="9"/>
      <c r="AD745" s="9"/>
      <c r="AE745" s="10"/>
      <c r="AF745" s="10"/>
      <c r="AG745" s="10"/>
      <c r="AH745" s="10"/>
      <c r="AI745" s="10"/>
      <c r="AJ745" s="10"/>
      <c r="AK745" s="10"/>
      <c r="AL745" s="10"/>
      <c r="AM745" s="10"/>
    </row>
    <row r="746" spans="1:39" ht="15.75" customHeight="1" x14ac:dyDescent="0.2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212"/>
      <c r="Q746" s="9"/>
      <c r="R746" s="9"/>
      <c r="S746" s="9"/>
      <c r="T746" s="9"/>
      <c r="U746" s="9"/>
      <c r="V746" s="9"/>
      <c r="W746" s="9"/>
      <c r="X746" s="9"/>
      <c r="Y746" s="9"/>
      <c r="Z746" s="9"/>
      <c r="AA746" s="9"/>
      <c r="AB746" s="212"/>
      <c r="AC746" s="9"/>
      <c r="AD746" s="9"/>
      <c r="AE746" s="10"/>
      <c r="AF746" s="10"/>
      <c r="AG746" s="10"/>
      <c r="AH746" s="10"/>
      <c r="AI746" s="10"/>
      <c r="AJ746" s="10"/>
      <c r="AK746" s="10"/>
      <c r="AL746" s="10"/>
      <c r="AM746" s="10"/>
    </row>
    <row r="747" spans="1:39" ht="15.75" customHeight="1" x14ac:dyDescent="0.2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212"/>
      <c r="Q747" s="9"/>
      <c r="R747" s="9"/>
      <c r="S747" s="9"/>
      <c r="T747" s="9"/>
      <c r="U747" s="9"/>
      <c r="V747" s="9"/>
      <c r="W747" s="9"/>
      <c r="X747" s="9"/>
      <c r="Y747" s="9"/>
      <c r="Z747" s="9"/>
      <c r="AA747" s="9"/>
      <c r="AB747" s="212"/>
      <c r="AC747" s="9"/>
      <c r="AD747" s="9"/>
      <c r="AE747" s="10"/>
      <c r="AF747" s="10"/>
      <c r="AG747" s="10"/>
      <c r="AH747" s="10"/>
      <c r="AI747" s="10"/>
      <c r="AJ747" s="10"/>
      <c r="AK747" s="10"/>
      <c r="AL747" s="10"/>
      <c r="AM747" s="10"/>
    </row>
    <row r="748" spans="1:39" ht="15.75" customHeight="1" x14ac:dyDescent="0.2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212"/>
      <c r="Q748" s="9"/>
      <c r="R748" s="9"/>
      <c r="S748" s="9"/>
      <c r="T748" s="9"/>
      <c r="U748" s="9"/>
      <c r="V748" s="9"/>
      <c r="W748" s="9"/>
      <c r="X748" s="9"/>
      <c r="Y748" s="9"/>
      <c r="Z748" s="9"/>
      <c r="AA748" s="9"/>
      <c r="AB748" s="212"/>
      <c r="AC748" s="9"/>
      <c r="AD748" s="9"/>
      <c r="AE748" s="10"/>
      <c r="AF748" s="10"/>
      <c r="AG748" s="10"/>
      <c r="AH748" s="10"/>
      <c r="AI748" s="10"/>
      <c r="AJ748" s="10"/>
      <c r="AK748" s="10"/>
      <c r="AL748" s="10"/>
      <c r="AM748" s="10"/>
    </row>
    <row r="749" spans="1:39" ht="15.75" customHeight="1" x14ac:dyDescent="0.2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212"/>
      <c r="Q749" s="9"/>
      <c r="R749" s="9"/>
      <c r="S749" s="9"/>
      <c r="T749" s="9"/>
      <c r="U749" s="9"/>
      <c r="V749" s="9"/>
      <c r="W749" s="9"/>
      <c r="X749" s="9"/>
      <c r="Y749" s="9"/>
      <c r="Z749" s="9"/>
      <c r="AA749" s="9"/>
      <c r="AB749" s="212"/>
      <c r="AC749" s="9"/>
      <c r="AD749" s="9"/>
      <c r="AE749" s="10"/>
      <c r="AF749" s="10"/>
      <c r="AG749" s="10"/>
      <c r="AH749" s="10"/>
      <c r="AI749" s="10"/>
      <c r="AJ749" s="10"/>
      <c r="AK749" s="10"/>
      <c r="AL749" s="10"/>
      <c r="AM749" s="10"/>
    </row>
    <row r="750" spans="1:39" ht="15.75" customHeight="1" x14ac:dyDescent="0.2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212"/>
      <c r="Q750" s="9"/>
      <c r="R750" s="9"/>
      <c r="S750" s="9"/>
      <c r="T750" s="9"/>
      <c r="U750" s="9"/>
      <c r="V750" s="9"/>
      <c r="W750" s="9"/>
      <c r="X750" s="9"/>
      <c r="Y750" s="9"/>
      <c r="Z750" s="9"/>
      <c r="AA750" s="9"/>
      <c r="AB750" s="212"/>
      <c r="AC750" s="9"/>
      <c r="AD750" s="9"/>
      <c r="AE750" s="10"/>
      <c r="AF750" s="10"/>
      <c r="AG750" s="10"/>
      <c r="AH750" s="10"/>
      <c r="AI750" s="10"/>
      <c r="AJ750" s="10"/>
      <c r="AK750" s="10"/>
      <c r="AL750" s="10"/>
      <c r="AM750" s="10"/>
    </row>
    <row r="751" spans="1:39" ht="15.75" customHeight="1" x14ac:dyDescent="0.2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212"/>
      <c r="Q751" s="9"/>
      <c r="R751" s="9"/>
      <c r="S751" s="9"/>
      <c r="T751" s="9"/>
      <c r="U751" s="9"/>
      <c r="V751" s="9"/>
      <c r="W751" s="9"/>
      <c r="X751" s="9"/>
      <c r="Y751" s="9"/>
      <c r="Z751" s="9"/>
      <c r="AA751" s="9"/>
      <c r="AB751" s="212"/>
      <c r="AC751" s="9"/>
      <c r="AD751" s="9"/>
      <c r="AE751" s="10"/>
      <c r="AF751" s="10"/>
      <c r="AG751" s="10"/>
      <c r="AH751" s="10"/>
      <c r="AI751" s="10"/>
      <c r="AJ751" s="10"/>
      <c r="AK751" s="10"/>
      <c r="AL751" s="10"/>
      <c r="AM751" s="10"/>
    </row>
    <row r="752" spans="1:39" ht="15.75" customHeight="1" x14ac:dyDescent="0.2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212"/>
      <c r="Q752" s="9"/>
      <c r="R752" s="9"/>
      <c r="S752" s="9"/>
      <c r="T752" s="9"/>
      <c r="U752" s="9"/>
      <c r="V752" s="9"/>
      <c r="W752" s="9"/>
      <c r="X752" s="9"/>
      <c r="Y752" s="9"/>
      <c r="Z752" s="9"/>
      <c r="AA752" s="9"/>
      <c r="AB752" s="212"/>
      <c r="AC752" s="9"/>
      <c r="AD752" s="9"/>
      <c r="AE752" s="10"/>
      <c r="AF752" s="10"/>
      <c r="AG752" s="10"/>
      <c r="AH752" s="10"/>
      <c r="AI752" s="10"/>
      <c r="AJ752" s="10"/>
      <c r="AK752" s="10"/>
      <c r="AL752" s="10"/>
      <c r="AM752" s="10"/>
    </row>
    <row r="753" spans="1:39" ht="15.75" customHeight="1" x14ac:dyDescent="0.2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212"/>
      <c r="Q753" s="9"/>
      <c r="R753" s="9"/>
      <c r="S753" s="9"/>
      <c r="T753" s="9"/>
      <c r="U753" s="9"/>
      <c r="V753" s="9"/>
      <c r="W753" s="9"/>
      <c r="X753" s="9"/>
      <c r="Y753" s="9"/>
      <c r="Z753" s="9"/>
      <c r="AA753" s="9"/>
      <c r="AB753" s="212"/>
      <c r="AC753" s="9"/>
      <c r="AD753" s="9"/>
      <c r="AE753" s="10"/>
      <c r="AF753" s="10"/>
      <c r="AG753" s="10"/>
      <c r="AH753" s="10"/>
      <c r="AI753" s="10"/>
      <c r="AJ753" s="10"/>
      <c r="AK753" s="10"/>
      <c r="AL753" s="10"/>
      <c r="AM753" s="10"/>
    </row>
    <row r="754" spans="1:39" ht="15.75" customHeight="1" x14ac:dyDescent="0.2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212"/>
      <c r="Q754" s="9"/>
      <c r="R754" s="9"/>
      <c r="S754" s="9"/>
      <c r="T754" s="9"/>
      <c r="U754" s="9"/>
      <c r="V754" s="9"/>
      <c r="W754" s="9"/>
      <c r="X754" s="9"/>
      <c r="Y754" s="9"/>
      <c r="Z754" s="9"/>
      <c r="AA754" s="9"/>
      <c r="AB754" s="212"/>
      <c r="AC754" s="9"/>
      <c r="AD754" s="9"/>
      <c r="AE754" s="10"/>
      <c r="AF754" s="10"/>
      <c r="AG754" s="10"/>
      <c r="AH754" s="10"/>
      <c r="AI754" s="10"/>
      <c r="AJ754" s="10"/>
      <c r="AK754" s="10"/>
      <c r="AL754" s="10"/>
      <c r="AM754" s="10"/>
    </row>
    <row r="755" spans="1:39" ht="15.75" customHeight="1" x14ac:dyDescent="0.2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212"/>
      <c r="Q755" s="9"/>
      <c r="R755" s="9"/>
      <c r="S755" s="9"/>
      <c r="T755" s="9"/>
      <c r="U755" s="9"/>
      <c r="V755" s="9"/>
      <c r="W755" s="9"/>
      <c r="X755" s="9"/>
      <c r="Y755" s="9"/>
      <c r="Z755" s="9"/>
      <c r="AA755" s="9"/>
      <c r="AB755" s="212"/>
      <c r="AC755" s="9"/>
      <c r="AD755" s="9"/>
      <c r="AE755" s="10"/>
      <c r="AF755" s="10"/>
      <c r="AG755" s="10"/>
      <c r="AH755" s="10"/>
      <c r="AI755" s="10"/>
      <c r="AJ755" s="10"/>
      <c r="AK755" s="10"/>
      <c r="AL755" s="10"/>
      <c r="AM755" s="10"/>
    </row>
    <row r="756" spans="1:39" ht="15.75" customHeight="1" x14ac:dyDescent="0.2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212"/>
      <c r="Q756" s="9"/>
      <c r="R756" s="9"/>
      <c r="S756" s="9"/>
      <c r="T756" s="9"/>
      <c r="U756" s="9"/>
      <c r="V756" s="9"/>
      <c r="W756" s="9"/>
      <c r="X756" s="9"/>
      <c r="Y756" s="9"/>
      <c r="Z756" s="9"/>
      <c r="AA756" s="9"/>
      <c r="AB756" s="212"/>
      <c r="AC756" s="9"/>
      <c r="AD756" s="9"/>
      <c r="AE756" s="10"/>
      <c r="AF756" s="10"/>
      <c r="AG756" s="10"/>
      <c r="AH756" s="10"/>
      <c r="AI756" s="10"/>
      <c r="AJ756" s="10"/>
      <c r="AK756" s="10"/>
      <c r="AL756" s="10"/>
      <c r="AM756" s="10"/>
    </row>
    <row r="757" spans="1:39" ht="15.75" customHeight="1" x14ac:dyDescent="0.2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212"/>
      <c r="Q757" s="9"/>
      <c r="R757" s="9"/>
      <c r="S757" s="9"/>
      <c r="T757" s="9"/>
      <c r="U757" s="9"/>
      <c r="V757" s="9"/>
      <c r="W757" s="9"/>
      <c r="X757" s="9"/>
      <c r="Y757" s="9"/>
      <c r="Z757" s="9"/>
      <c r="AA757" s="9"/>
      <c r="AB757" s="212"/>
      <c r="AC757" s="9"/>
      <c r="AD757" s="9"/>
      <c r="AE757" s="10"/>
      <c r="AF757" s="10"/>
      <c r="AG757" s="10"/>
      <c r="AH757" s="10"/>
      <c r="AI757" s="10"/>
      <c r="AJ757" s="10"/>
      <c r="AK757" s="10"/>
      <c r="AL757" s="10"/>
      <c r="AM757" s="10"/>
    </row>
    <row r="758" spans="1:39" ht="15.75" customHeight="1" x14ac:dyDescent="0.2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212"/>
      <c r="Q758" s="9"/>
      <c r="R758" s="9"/>
      <c r="S758" s="9"/>
      <c r="T758" s="9"/>
      <c r="U758" s="9"/>
      <c r="V758" s="9"/>
      <c r="W758" s="9"/>
      <c r="X758" s="9"/>
      <c r="Y758" s="9"/>
      <c r="Z758" s="9"/>
      <c r="AA758" s="9"/>
      <c r="AB758" s="212"/>
      <c r="AC758" s="9"/>
      <c r="AD758" s="9"/>
      <c r="AE758" s="10"/>
      <c r="AF758" s="10"/>
      <c r="AG758" s="10"/>
      <c r="AH758" s="10"/>
      <c r="AI758" s="10"/>
      <c r="AJ758" s="10"/>
      <c r="AK758" s="10"/>
      <c r="AL758" s="10"/>
      <c r="AM758" s="10"/>
    </row>
    <row r="759" spans="1:39" ht="15.75" customHeight="1" x14ac:dyDescent="0.2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212"/>
      <c r="Q759" s="9"/>
      <c r="R759" s="9"/>
      <c r="S759" s="9"/>
      <c r="T759" s="9"/>
      <c r="U759" s="9"/>
      <c r="V759" s="9"/>
      <c r="W759" s="9"/>
      <c r="X759" s="9"/>
      <c r="Y759" s="9"/>
      <c r="Z759" s="9"/>
      <c r="AA759" s="9"/>
      <c r="AB759" s="212"/>
      <c r="AC759" s="9"/>
      <c r="AD759" s="9"/>
      <c r="AE759" s="10"/>
      <c r="AF759" s="10"/>
      <c r="AG759" s="10"/>
      <c r="AH759" s="10"/>
      <c r="AI759" s="10"/>
      <c r="AJ759" s="10"/>
      <c r="AK759" s="10"/>
      <c r="AL759" s="10"/>
      <c r="AM759" s="10"/>
    </row>
    <row r="760" spans="1:39" ht="15.75" customHeight="1" x14ac:dyDescent="0.2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212"/>
      <c r="Q760" s="9"/>
      <c r="R760" s="9"/>
      <c r="S760" s="9"/>
      <c r="T760" s="9"/>
      <c r="U760" s="9"/>
      <c r="V760" s="9"/>
      <c r="W760" s="9"/>
      <c r="X760" s="9"/>
      <c r="Y760" s="9"/>
      <c r="Z760" s="9"/>
      <c r="AA760" s="9"/>
      <c r="AB760" s="212"/>
      <c r="AC760" s="9"/>
      <c r="AD760" s="9"/>
      <c r="AE760" s="10"/>
      <c r="AF760" s="10"/>
      <c r="AG760" s="10"/>
      <c r="AH760" s="10"/>
      <c r="AI760" s="10"/>
      <c r="AJ760" s="10"/>
      <c r="AK760" s="10"/>
      <c r="AL760" s="10"/>
      <c r="AM760" s="10"/>
    </row>
    <row r="761" spans="1:39" ht="15.75" customHeight="1" x14ac:dyDescent="0.2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212"/>
      <c r="Q761" s="9"/>
      <c r="R761" s="9"/>
      <c r="S761" s="9"/>
      <c r="T761" s="9"/>
      <c r="U761" s="9"/>
      <c r="V761" s="9"/>
      <c r="W761" s="9"/>
      <c r="X761" s="9"/>
      <c r="Y761" s="9"/>
      <c r="Z761" s="9"/>
      <c r="AA761" s="9"/>
      <c r="AB761" s="212"/>
      <c r="AC761" s="9"/>
      <c r="AD761" s="9"/>
      <c r="AE761" s="10"/>
      <c r="AF761" s="10"/>
      <c r="AG761" s="10"/>
      <c r="AH761" s="10"/>
      <c r="AI761" s="10"/>
      <c r="AJ761" s="10"/>
      <c r="AK761" s="10"/>
      <c r="AL761" s="10"/>
      <c r="AM761" s="10"/>
    </row>
    <row r="762" spans="1:39" ht="15.75" customHeight="1" x14ac:dyDescent="0.2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212"/>
      <c r="Q762" s="9"/>
      <c r="R762" s="9"/>
      <c r="S762" s="9"/>
      <c r="T762" s="9"/>
      <c r="U762" s="9"/>
      <c r="V762" s="9"/>
      <c r="W762" s="9"/>
      <c r="X762" s="9"/>
      <c r="Y762" s="9"/>
      <c r="Z762" s="9"/>
      <c r="AA762" s="9"/>
      <c r="AB762" s="212"/>
      <c r="AC762" s="9"/>
      <c r="AD762" s="9"/>
      <c r="AE762" s="10"/>
      <c r="AF762" s="10"/>
      <c r="AG762" s="10"/>
      <c r="AH762" s="10"/>
      <c r="AI762" s="10"/>
      <c r="AJ762" s="10"/>
      <c r="AK762" s="10"/>
      <c r="AL762" s="10"/>
      <c r="AM762" s="10"/>
    </row>
    <row r="763" spans="1:39" ht="15.75" customHeight="1" x14ac:dyDescent="0.2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212"/>
      <c r="Q763" s="9"/>
      <c r="R763" s="9"/>
      <c r="S763" s="9"/>
      <c r="T763" s="9"/>
      <c r="U763" s="9"/>
      <c r="V763" s="9"/>
      <c r="W763" s="9"/>
      <c r="X763" s="9"/>
      <c r="Y763" s="9"/>
      <c r="Z763" s="9"/>
      <c r="AA763" s="9"/>
      <c r="AB763" s="212"/>
      <c r="AC763" s="9"/>
      <c r="AD763" s="9"/>
      <c r="AE763" s="10"/>
      <c r="AF763" s="10"/>
      <c r="AG763" s="10"/>
      <c r="AH763" s="10"/>
      <c r="AI763" s="10"/>
      <c r="AJ763" s="10"/>
      <c r="AK763" s="10"/>
      <c r="AL763" s="10"/>
      <c r="AM763" s="10"/>
    </row>
    <row r="764" spans="1:39" ht="15.75" customHeight="1" x14ac:dyDescent="0.2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212"/>
      <c r="Q764" s="9"/>
      <c r="R764" s="9"/>
      <c r="S764" s="9"/>
      <c r="T764" s="9"/>
      <c r="U764" s="9"/>
      <c r="V764" s="9"/>
      <c r="W764" s="9"/>
      <c r="X764" s="9"/>
      <c r="Y764" s="9"/>
      <c r="Z764" s="9"/>
      <c r="AA764" s="9"/>
      <c r="AB764" s="212"/>
      <c r="AC764" s="9"/>
      <c r="AD764" s="9"/>
      <c r="AE764" s="10"/>
      <c r="AF764" s="10"/>
      <c r="AG764" s="10"/>
      <c r="AH764" s="10"/>
      <c r="AI764" s="10"/>
      <c r="AJ764" s="10"/>
      <c r="AK764" s="10"/>
      <c r="AL764" s="10"/>
      <c r="AM764" s="10"/>
    </row>
    <row r="765" spans="1:39" ht="15.75" customHeight="1" x14ac:dyDescent="0.2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212"/>
      <c r="Q765" s="9"/>
      <c r="R765" s="9"/>
      <c r="S765" s="9"/>
      <c r="T765" s="9"/>
      <c r="U765" s="9"/>
      <c r="V765" s="9"/>
      <c r="W765" s="9"/>
      <c r="X765" s="9"/>
      <c r="Y765" s="9"/>
      <c r="Z765" s="9"/>
      <c r="AA765" s="9"/>
      <c r="AB765" s="212"/>
      <c r="AC765" s="9"/>
      <c r="AD765" s="9"/>
      <c r="AE765" s="10"/>
      <c r="AF765" s="10"/>
      <c r="AG765" s="10"/>
      <c r="AH765" s="10"/>
      <c r="AI765" s="10"/>
      <c r="AJ765" s="10"/>
      <c r="AK765" s="10"/>
      <c r="AL765" s="10"/>
      <c r="AM765" s="10"/>
    </row>
    <row r="766" spans="1:39" ht="15.75" customHeight="1" x14ac:dyDescent="0.2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212"/>
      <c r="Q766" s="9"/>
      <c r="R766" s="9"/>
      <c r="S766" s="9"/>
      <c r="T766" s="9"/>
      <c r="U766" s="9"/>
      <c r="V766" s="9"/>
      <c r="W766" s="9"/>
      <c r="X766" s="9"/>
      <c r="Y766" s="9"/>
      <c r="Z766" s="9"/>
      <c r="AA766" s="9"/>
      <c r="AB766" s="212"/>
      <c r="AC766" s="9"/>
      <c r="AD766" s="9"/>
      <c r="AE766" s="10"/>
      <c r="AF766" s="10"/>
      <c r="AG766" s="10"/>
      <c r="AH766" s="10"/>
      <c r="AI766" s="10"/>
      <c r="AJ766" s="10"/>
      <c r="AK766" s="10"/>
      <c r="AL766" s="10"/>
      <c r="AM766" s="10"/>
    </row>
    <row r="767" spans="1:39" ht="15.75" customHeight="1" x14ac:dyDescent="0.2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212"/>
      <c r="Q767" s="9"/>
      <c r="R767" s="9"/>
      <c r="S767" s="9"/>
      <c r="T767" s="9"/>
      <c r="U767" s="9"/>
      <c r="V767" s="9"/>
      <c r="W767" s="9"/>
      <c r="X767" s="9"/>
      <c r="Y767" s="9"/>
      <c r="Z767" s="9"/>
      <c r="AA767" s="9"/>
      <c r="AB767" s="212"/>
      <c r="AC767" s="9"/>
      <c r="AD767" s="9"/>
      <c r="AE767" s="10"/>
      <c r="AF767" s="10"/>
      <c r="AG767" s="10"/>
      <c r="AH767" s="10"/>
      <c r="AI767" s="10"/>
      <c r="AJ767" s="10"/>
      <c r="AK767" s="10"/>
      <c r="AL767" s="10"/>
      <c r="AM767" s="10"/>
    </row>
    <row r="768" spans="1:39" ht="15.75" customHeight="1" x14ac:dyDescent="0.2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212"/>
      <c r="Q768" s="9"/>
      <c r="R768" s="9"/>
      <c r="S768" s="9"/>
      <c r="T768" s="9"/>
      <c r="U768" s="9"/>
      <c r="V768" s="9"/>
      <c r="W768" s="9"/>
      <c r="X768" s="9"/>
      <c r="Y768" s="9"/>
      <c r="Z768" s="9"/>
      <c r="AA768" s="9"/>
      <c r="AB768" s="212"/>
      <c r="AC768" s="9"/>
      <c r="AD768" s="9"/>
      <c r="AE768" s="10"/>
      <c r="AF768" s="10"/>
      <c r="AG768" s="10"/>
      <c r="AH768" s="10"/>
      <c r="AI768" s="10"/>
      <c r="AJ768" s="10"/>
      <c r="AK768" s="10"/>
      <c r="AL768" s="10"/>
      <c r="AM768" s="10"/>
    </row>
    <row r="769" spans="1:39" ht="15.75" customHeight="1" x14ac:dyDescent="0.2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212"/>
      <c r="Q769" s="9"/>
      <c r="R769" s="9"/>
      <c r="S769" s="9"/>
      <c r="T769" s="9"/>
      <c r="U769" s="9"/>
      <c r="V769" s="9"/>
      <c r="W769" s="9"/>
      <c r="X769" s="9"/>
      <c r="Y769" s="9"/>
      <c r="Z769" s="9"/>
      <c r="AA769" s="9"/>
      <c r="AB769" s="212"/>
      <c r="AC769" s="9"/>
      <c r="AD769" s="9"/>
      <c r="AE769" s="10"/>
      <c r="AF769" s="10"/>
      <c r="AG769" s="10"/>
      <c r="AH769" s="10"/>
      <c r="AI769" s="10"/>
      <c r="AJ769" s="10"/>
      <c r="AK769" s="10"/>
      <c r="AL769" s="10"/>
      <c r="AM769" s="10"/>
    </row>
    <row r="770" spans="1:39" ht="15.75" customHeight="1" x14ac:dyDescent="0.2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212"/>
      <c r="Q770" s="9"/>
      <c r="R770" s="9"/>
      <c r="S770" s="9"/>
      <c r="T770" s="9"/>
      <c r="U770" s="9"/>
      <c r="V770" s="9"/>
      <c r="W770" s="9"/>
      <c r="X770" s="9"/>
      <c r="Y770" s="9"/>
      <c r="Z770" s="9"/>
      <c r="AA770" s="9"/>
      <c r="AB770" s="212"/>
      <c r="AC770" s="9"/>
      <c r="AD770" s="9"/>
      <c r="AE770" s="10"/>
      <c r="AF770" s="10"/>
      <c r="AG770" s="10"/>
      <c r="AH770" s="10"/>
      <c r="AI770" s="10"/>
      <c r="AJ770" s="10"/>
      <c r="AK770" s="10"/>
      <c r="AL770" s="10"/>
      <c r="AM770" s="10"/>
    </row>
    <row r="771" spans="1:39" ht="15.75" customHeight="1" x14ac:dyDescent="0.2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212"/>
      <c r="Q771" s="9"/>
      <c r="R771" s="9"/>
      <c r="S771" s="9"/>
      <c r="T771" s="9"/>
      <c r="U771" s="9"/>
      <c r="V771" s="9"/>
      <c r="W771" s="9"/>
      <c r="X771" s="9"/>
      <c r="Y771" s="9"/>
      <c r="Z771" s="9"/>
      <c r="AA771" s="9"/>
      <c r="AB771" s="212"/>
      <c r="AC771" s="9"/>
      <c r="AD771" s="9"/>
      <c r="AE771" s="10"/>
      <c r="AF771" s="10"/>
      <c r="AG771" s="10"/>
      <c r="AH771" s="10"/>
      <c r="AI771" s="10"/>
      <c r="AJ771" s="10"/>
      <c r="AK771" s="10"/>
      <c r="AL771" s="10"/>
      <c r="AM771" s="10"/>
    </row>
    <row r="772" spans="1:39" ht="15.75" customHeight="1" x14ac:dyDescent="0.2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212"/>
      <c r="Q772" s="9"/>
      <c r="R772" s="9"/>
      <c r="S772" s="9"/>
      <c r="T772" s="9"/>
      <c r="U772" s="9"/>
      <c r="V772" s="9"/>
      <c r="W772" s="9"/>
      <c r="X772" s="9"/>
      <c r="Y772" s="9"/>
      <c r="Z772" s="9"/>
      <c r="AA772" s="9"/>
      <c r="AB772" s="212"/>
      <c r="AC772" s="9"/>
      <c r="AD772" s="9"/>
      <c r="AE772" s="10"/>
      <c r="AF772" s="10"/>
      <c r="AG772" s="10"/>
      <c r="AH772" s="10"/>
      <c r="AI772" s="10"/>
      <c r="AJ772" s="10"/>
      <c r="AK772" s="10"/>
      <c r="AL772" s="10"/>
      <c r="AM772" s="10"/>
    </row>
    <row r="773" spans="1:39" ht="15.75" customHeight="1" x14ac:dyDescent="0.2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212"/>
      <c r="Q773" s="9"/>
      <c r="R773" s="9"/>
      <c r="S773" s="9"/>
      <c r="T773" s="9"/>
      <c r="U773" s="9"/>
      <c r="V773" s="9"/>
      <c r="W773" s="9"/>
      <c r="X773" s="9"/>
      <c r="Y773" s="9"/>
      <c r="Z773" s="9"/>
      <c r="AA773" s="9"/>
      <c r="AB773" s="212"/>
      <c r="AC773" s="9"/>
      <c r="AD773" s="9"/>
      <c r="AE773" s="10"/>
      <c r="AF773" s="10"/>
      <c r="AG773" s="10"/>
      <c r="AH773" s="10"/>
      <c r="AI773" s="10"/>
      <c r="AJ773" s="10"/>
      <c r="AK773" s="10"/>
      <c r="AL773" s="10"/>
      <c r="AM773" s="10"/>
    </row>
    <row r="774" spans="1:39" ht="15.75" customHeight="1" x14ac:dyDescent="0.2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212"/>
      <c r="Q774" s="9"/>
      <c r="R774" s="9"/>
      <c r="S774" s="9"/>
      <c r="T774" s="9"/>
      <c r="U774" s="9"/>
      <c r="V774" s="9"/>
      <c r="W774" s="9"/>
      <c r="X774" s="9"/>
      <c r="Y774" s="9"/>
      <c r="Z774" s="9"/>
      <c r="AA774" s="9"/>
      <c r="AB774" s="212"/>
      <c r="AC774" s="9"/>
      <c r="AD774" s="9"/>
      <c r="AE774" s="10"/>
      <c r="AF774" s="10"/>
      <c r="AG774" s="10"/>
      <c r="AH774" s="10"/>
      <c r="AI774" s="10"/>
      <c r="AJ774" s="10"/>
      <c r="AK774" s="10"/>
      <c r="AL774" s="10"/>
      <c r="AM774" s="10"/>
    </row>
    <row r="775" spans="1:39" ht="15.75" customHeight="1" x14ac:dyDescent="0.2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212"/>
      <c r="Q775" s="9"/>
      <c r="R775" s="9"/>
      <c r="S775" s="9"/>
      <c r="T775" s="9"/>
      <c r="U775" s="9"/>
      <c r="V775" s="9"/>
      <c r="W775" s="9"/>
      <c r="X775" s="9"/>
      <c r="Y775" s="9"/>
      <c r="Z775" s="9"/>
      <c r="AA775" s="9"/>
      <c r="AB775" s="212"/>
      <c r="AC775" s="9"/>
      <c r="AD775" s="9"/>
      <c r="AE775" s="10"/>
      <c r="AF775" s="10"/>
      <c r="AG775" s="10"/>
      <c r="AH775" s="10"/>
      <c r="AI775" s="10"/>
      <c r="AJ775" s="10"/>
      <c r="AK775" s="10"/>
      <c r="AL775" s="10"/>
      <c r="AM775" s="10"/>
    </row>
    <row r="776" spans="1:39" ht="15.75" customHeight="1" x14ac:dyDescent="0.2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212"/>
      <c r="Q776" s="9"/>
      <c r="R776" s="9"/>
      <c r="S776" s="9"/>
      <c r="T776" s="9"/>
      <c r="U776" s="9"/>
      <c r="V776" s="9"/>
      <c r="W776" s="9"/>
      <c r="X776" s="9"/>
      <c r="Y776" s="9"/>
      <c r="Z776" s="9"/>
      <c r="AA776" s="9"/>
      <c r="AB776" s="212"/>
      <c r="AC776" s="9"/>
      <c r="AD776" s="9"/>
      <c r="AE776" s="10"/>
      <c r="AF776" s="10"/>
      <c r="AG776" s="10"/>
      <c r="AH776" s="10"/>
      <c r="AI776" s="10"/>
      <c r="AJ776" s="10"/>
      <c r="AK776" s="10"/>
      <c r="AL776" s="10"/>
      <c r="AM776" s="10"/>
    </row>
    <row r="777" spans="1:39" ht="15.75" customHeight="1" x14ac:dyDescent="0.2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212"/>
      <c r="Q777" s="9"/>
      <c r="R777" s="9"/>
      <c r="S777" s="9"/>
      <c r="T777" s="9"/>
      <c r="U777" s="9"/>
      <c r="V777" s="9"/>
      <c r="W777" s="9"/>
      <c r="X777" s="9"/>
      <c r="Y777" s="9"/>
      <c r="Z777" s="9"/>
      <c r="AA777" s="9"/>
      <c r="AB777" s="212"/>
      <c r="AC777" s="9"/>
      <c r="AD777" s="9"/>
      <c r="AE777" s="10"/>
      <c r="AF777" s="10"/>
      <c r="AG777" s="10"/>
      <c r="AH777" s="10"/>
      <c r="AI777" s="10"/>
      <c r="AJ777" s="10"/>
      <c r="AK777" s="10"/>
      <c r="AL777" s="10"/>
      <c r="AM777" s="10"/>
    </row>
    <row r="778" spans="1:39" ht="15.75" customHeight="1" x14ac:dyDescent="0.2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212"/>
      <c r="Q778" s="9"/>
      <c r="R778" s="9"/>
      <c r="S778" s="9"/>
      <c r="T778" s="9"/>
      <c r="U778" s="9"/>
      <c r="V778" s="9"/>
      <c r="W778" s="9"/>
      <c r="X778" s="9"/>
      <c r="Y778" s="9"/>
      <c r="Z778" s="9"/>
      <c r="AA778" s="9"/>
      <c r="AB778" s="212"/>
      <c r="AC778" s="9"/>
      <c r="AD778" s="9"/>
      <c r="AE778" s="10"/>
      <c r="AF778" s="10"/>
      <c r="AG778" s="10"/>
      <c r="AH778" s="10"/>
      <c r="AI778" s="10"/>
      <c r="AJ778" s="10"/>
      <c r="AK778" s="10"/>
      <c r="AL778" s="10"/>
      <c r="AM778" s="10"/>
    </row>
    <row r="779" spans="1:39" ht="15.75" customHeight="1" x14ac:dyDescent="0.2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212"/>
      <c r="Q779" s="9"/>
      <c r="R779" s="9"/>
      <c r="S779" s="9"/>
      <c r="T779" s="9"/>
      <c r="U779" s="9"/>
      <c r="V779" s="9"/>
      <c r="W779" s="9"/>
      <c r="X779" s="9"/>
      <c r="Y779" s="9"/>
      <c r="Z779" s="9"/>
      <c r="AA779" s="9"/>
      <c r="AB779" s="212"/>
      <c r="AC779" s="9"/>
      <c r="AD779" s="9"/>
      <c r="AE779" s="10"/>
      <c r="AF779" s="10"/>
      <c r="AG779" s="10"/>
      <c r="AH779" s="10"/>
      <c r="AI779" s="10"/>
      <c r="AJ779" s="10"/>
      <c r="AK779" s="10"/>
      <c r="AL779" s="10"/>
      <c r="AM779" s="10"/>
    </row>
    <row r="780" spans="1:39" ht="15.75" customHeight="1" x14ac:dyDescent="0.2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212"/>
      <c r="Q780" s="9"/>
      <c r="R780" s="9"/>
      <c r="S780" s="9"/>
      <c r="T780" s="9"/>
      <c r="U780" s="9"/>
      <c r="V780" s="9"/>
      <c r="W780" s="9"/>
      <c r="X780" s="9"/>
      <c r="Y780" s="9"/>
      <c r="Z780" s="9"/>
      <c r="AA780" s="9"/>
      <c r="AB780" s="212"/>
      <c r="AC780" s="9"/>
      <c r="AD780" s="9"/>
      <c r="AE780" s="10"/>
      <c r="AF780" s="10"/>
      <c r="AG780" s="10"/>
      <c r="AH780" s="10"/>
      <c r="AI780" s="10"/>
      <c r="AJ780" s="10"/>
      <c r="AK780" s="10"/>
      <c r="AL780" s="10"/>
      <c r="AM780" s="10"/>
    </row>
    <row r="781" spans="1:39" ht="15.75" customHeight="1" x14ac:dyDescent="0.2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212"/>
      <c r="Q781" s="9"/>
      <c r="R781" s="9"/>
      <c r="S781" s="9"/>
      <c r="T781" s="9"/>
      <c r="U781" s="9"/>
      <c r="V781" s="9"/>
      <c r="W781" s="9"/>
      <c r="X781" s="9"/>
      <c r="Y781" s="9"/>
      <c r="Z781" s="9"/>
      <c r="AA781" s="9"/>
      <c r="AB781" s="212"/>
      <c r="AC781" s="9"/>
      <c r="AD781" s="9"/>
      <c r="AE781" s="10"/>
      <c r="AF781" s="10"/>
      <c r="AG781" s="10"/>
      <c r="AH781" s="10"/>
      <c r="AI781" s="10"/>
      <c r="AJ781" s="10"/>
      <c r="AK781" s="10"/>
      <c r="AL781" s="10"/>
      <c r="AM781" s="10"/>
    </row>
    <row r="782" spans="1:39" ht="15.75" customHeight="1" x14ac:dyDescent="0.2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212"/>
      <c r="Q782" s="9"/>
      <c r="R782" s="9"/>
      <c r="S782" s="9"/>
      <c r="T782" s="9"/>
      <c r="U782" s="9"/>
      <c r="V782" s="9"/>
      <c r="W782" s="9"/>
      <c r="X782" s="9"/>
      <c r="Y782" s="9"/>
      <c r="Z782" s="9"/>
      <c r="AA782" s="9"/>
      <c r="AB782" s="212"/>
      <c r="AC782" s="9"/>
      <c r="AD782" s="9"/>
      <c r="AE782" s="10"/>
      <c r="AF782" s="10"/>
      <c r="AG782" s="10"/>
      <c r="AH782" s="10"/>
      <c r="AI782" s="10"/>
      <c r="AJ782" s="10"/>
      <c r="AK782" s="10"/>
      <c r="AL782" s="10"/>
      <c r="AM782" s="10"/>
    </row>
    <row r="783" spans="1:39" ht="15.75" customHeight="1" x14ac:dyDescent="0.2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212"/>
      <c r="Q783" s="9"/>
      <c r="R783" s="9"/>
      <c r="S783" s="9"/>
      <c r="T783" s="9"/>
      <c r="U783" s="9"/>
      <c r="V783" s="9"/>
      <c r="W783" s="9"/>
      <c r="X783" s="9"/>
      <c r="Y783" s="9"/>
      <c r="Z783" s="9"/>
      <c r="AA783" s="9"/>
      <c r="AB783" s="212"/>
      <c r="AC783" s="9"/>
      <c r="AD783" s="9"/>
      <c r="AE783" s="10"/>
      <c r="AF783" s="10"/>
      <c r="AG783" s="10"/>
      <c r="AH783" s="10"/>
      <c r="AI783" s="10"/>
      <c r="AJ783" s="10"/>
      <c r="AK783" s="10"/>
      <c r="AL783" s="10"/>
      <c r="AM783" s="10"/>
    </row>
    <row r="784" spans="1:39" ht="15.75" customHeight="1" x14ac:dyDescent="0.2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212"/>
      <c r="Q784" s="9"/>
      <c r="R784" s="9"/>
      <c r="S784" s="9"/>
      <c r="T784" s="9"/>
      <c r="U784" s="9"/>
      <c r="V784" s="9"/>
      <c r="W784" s="9"/>
      <c r="X784" s="9"/>
      <c r="Y784" s="9"/>
      <c r="Z784" s="9"/>
      <c r="AA784" s="9"/>
      <c r="AB784" s="212"/>
      <c r="AC784" s="9"/>
      <c r="AD784" s="9"/>
      <c r="AE784" s="10"/>
      <c r="AF784" s="10"/>
      <c r="AG784" s="10"/>
      <c r="AH784" s="10"/>
      <c r="AI784" s="10"/>
      <c r="AJ784" s="10"/>
      <c r="AK784" s="10"/>
      <c r="AL784" s="10"/>
      <c r="AM784" s="10"/>
    </row>
    <row r="785" spans="1:39" ht="15.75" customHeight="1" x14ac:dyDescent="0.2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212"/>
      <c r="Q785" s="9"/>
      <c r="R785" s="9"/>
      <c r="S785" s="9"/>
      <c r="T785" s="9"/>
      <c r="U785" s="9"/>
      <c r="V785" s="9"/>
      <c r="W785" s="9"/>
      <c r="X785" s="9"/>
      <c r="Y785" s="9"/>
      <c r="Z785" s="9"/>
      <c r="AA785" s="9"/>
      <c r="AB785" s="212"/>
      <c r="AC785" s="9"/>
      <c r="AD785" s="9"/>
      <c r="AE785" s="10"/>
      <c r="AF785" s="10"/>
      <c r="AG785" s="10"/>
      <c r="AH785" s="10"/>
      <c r="AI785" s="10"/>
      <c r="AJ785" s="10"/>
      <c r="AK785" s="10"/>
      <c r="AL785" s="10"/>
      <c r="AM785" s="10"/>
    </row>
    <row r="786" spans="1:39" ht="15.75" customHeight="1" x14ac:dyDescent="0.2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212"/>
      <c r="Q786" s="9"/>
      <c r="R786" s="9"/>
      <c r="S786" s="9"/>
      <c r="T786" s="9"/>
      <c r="U786" s="9"/>
      <c r="V786" s="9"/>
      <c r="W786" s="9"/>
      <c r="X786" s="9"/>
      <c r="Y786" s="9"/>
      <c r="Z786" s="9"/>
      <c r="AA786" s="9"/>
      <c r="AB786" s="212"/>
      <c r="AC786" s="9"/>
      <c r="AD786" s="9"/>
      <c r="AE786" s="10"/>
      <c r="AF786" s="10"/>
      <c r="AG786" s="10"/>
      <c r="AH786" s="10"/>
      <c r="AI786" s="10"/>
      <c r="AJ786" s="10"/>
      <c r="AK786" s="10"/>
      <c r="AL786" s="10"/>
      <c r="AM786" s="10"/>
    </row>
    <row r="787" spans="1:39" ht="15.75" customHeight="1" x14ac:dyDescent="0.2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212"/>
      <c r="Q787" s="9"/>
      <c r="R787" s="9"/>
      <c r="S787" s="9"/>
      <c r="T787" s="9"/>
      <c r="U787" s="9"/>
      <c r="V787" s="9"/>
      <c r="W787" s="9"/>
      <c r="X787" s="9"/>
      <c r="Y787" s="9"/>
      <c r="Z787" s="9"/>
      <c r="AA787" s="9"/>
      <c r="AB787" s="212"/>
      <c r="AC787" s="9"/>
      <c r="AD787" s="9"/>
      <c r="AE787" s="10"/>
      <c r="AF787" s="10"/>
      <c r="AG787" s="10"/>
      <c r="AH787" s="10"/>
      <c r="AI787" s="10"/>
      <c r="AJ787" s="10"/>
      <c r="AK787" s="10"/>
      <c r="AL787" s="10"/>
      <c r="AM787" s="10"/>
    </row>
    <row r="788" spans="1:39" ht="15.75" customHeight="1" x14ac:dyDescent="0.2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212"/>
      <c r="Q788" s="9"/>
      <c r="R788" s="9"/>
      <c r="S788" s="9"/>
      <c r="T788" s="9"/>
      <c r="U788" s="9"/>
      <c r="V788" s="9"/>
      <c r="W788" s="9"/>
      <c r="X788" s="9"/>
      <c r="Y788" s="9"/>
      <c r="Z788" s="9"/>
      <c r="AA788" s="9"/>
      <c r="AB788" s="212"/>
      <c r="AC788" s="9"/>
      <c r="AD788" s="9"/>
      <c r="AE788" s="10"/>
      <c r="AF788" s="10"/>
      <c r="AG788" s="10"/>
      <c r="AH788" s="10"/>
      <c r="AI788" s="10"/>
      <c r="AJ788" s="10"/>
      <c r="AK788" s="10"/>
      <c r="AL788" s="10"/>
      <c r="AM788" s="10"/>
    </row>
    <row r="789" spans="1:39" ht="15.75" customHeight="1" x14ac:dyDescent="0.2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212"/>
      <c r="Q789" s="9"/>
      <c r="R789" s="9"/>
      <c r="S789" s="9"/>
      <c r="T789" s="9"/>
      <c r="U789" s="9"/>
      <c r="V789" s="9"/>
      <c r="W789" s="9"/>
      <c r="X789" s="9"/>
      <c r="Y789" s="9"/>
      <c r="Z789" s="9"/>
      <c r="AA789" s="9"/>
      <c r="AB789" s="212"/>
      <c r="AC789" s="9"/>
      <c r="AD789" s="9"/>
      <c r="AE789" s="10"/>
      <c r="AF789" s="10"/>
      <c r="AG789" s="10"/>
      <c r="AH789" s="10"/>
      <c r="AI789" s="10"/>
      <c r="AJ789" s="10"/>
      <c r="AK789" s="10"/>
      <c r="AL789" s="10"/>
      <c r="AM789" s="10"/>
    </row>
    <row r="790" spans="1:39" ht="15.75" customHeight="1" x14ac:dyDescent="0.2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212"/>
      <c r="Q790" s="9"/>
      <c r="R790" s="9"/>
      <c r="S790" s="9"/>
      <c r="T790" s="9"/>
      <c r="U790" s="9"/>
      <c r="V790" s="9"/>
      <c r="W790" s="9"/>
      <c r="X790" s="9"/>
      <c r="Y790" s="9"/>
      <c r="Z790" s="9"/>
      <c r="AA790" s="9"/>
      <c r="AB790" s="212"/>
      <c r="AC790" s="9"/>
      <c r="AD790" s="9"/>
      <c r="AE790" s="10"/>
      <c r="AF790" s="10"/>
      <c r="AG790" s="10"/>
      <c r="AH790" s="10"/>
      <c r="AI790" s="10"/>
      <c r="AJ790" s="10"/>
      <c r="AK790" s="10"/>
      <c r="AL790" s="10"/>
      <c r="AM790" s="10"/>
    </row>
    <row r="791" spans="1:39" ht="15.75" customHeight="1" x14ac:dyDescent="0.2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212"/>
      <c r="Q791" s="9"/>
      <c r="R791" s="9"/>
      <c r="S791" s="9"/>
      <c r="T791" s="9"/>
      <c r="U791" s="9"/>
      <c r="V791" s="9"/>
      <c r="W791" s="9"/>
      <c r="X791" s="9"/>
      <c r="Y791" s="9"/>
      <c r="Z791" s="9"/>
      <c r="AA791" s="9"/>
      <c r="AB791" s="212"/>
      <c r="AC791" s="9"/>
      <c r="AD791" s="9"/>
      <c r="AE791" s="10"/>
      <c r="AF791" s="10"/>
      <c r="AG791" s="10"/>
      <c r="AH791" s="10"/>
      <c r="AI791" s="10"/>
      <c r="AJ791" s="10"/>
      <c r="AK791" s="10"/>
      <c r="AL791" s="10"/>
      <c r="AM791" s="10"/>
    </row>
    <row r="792" spans="1:39" ht="15.75" customHeight="1" x14ac:dyDescent="0.2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212"/>
      <c r="Q792" s="9"/>
      <c r="R792" s="9"/>
      <c r="S792" s="9"/>
      <c r="T792" s="9"/>
      <c r="U792" s="9"/>
      <c r="V792" s="9"/>
      <c r="W792" s="9"/>
      <c r="X792" s="9"/>
      <c r="Y792" s="9"/>
      <c r="Z792" s="9"/>
      <c r="AA792" s="9"/>
      <c r="AB792" s="212"/>
      <c r="AC792" s="9"/>
      <c r="AD792" s="9"/>
      <c r="AE792" s="10"/>
      <c r="AF792" s="10"/>
      <c r="AG792" s="10"/>
      <c r="AH792" s="10"/>
      <c r="AI792" s="10"/>
      <c r="AJ792" s="10"/>
      <c r="AK792" s="10"/>
      <c r="AL792" s="10"/>
      <c r="AM792" s="10"/>
    </row>
    <row r="793" spans="1:39" ht="15.75" customHeight="1" x14ac:dyDescent="0.2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212"/>
      <c r="Q793" s="9"/>
      <c r="R793" s="9"/>
      <c r="S793" s="9"/>
      <c r="T793" s="9"/>
      <c r="U793" s="9"/>
      <c r="V793" s="9"/>
      <c r="W793" s="9"/>
      <c r="X793" s="9"/>
      <c r="Y793" s="9"/>
      <c r="Z793" s="9"/>
      <c r="AA793" s="9"/>
      <c r="AB793" s="212"/>
      <c r="AC793" s="9"/>
      <c r="AD793" s="9"/>
      <c r="AE793" s="10"/>
      <c r="AF793" s="10"/>
      <c r="AG793" s="10"/>
      <c r="AH793" s="10"/>
      <c r="AI793" s="10"/>
      <c r="AJ793" s="10"/>
      <c r="AK793" s="10"/>
      <c r="AL793" s="10"/>
      <c r="AM793" s="10"/>
    </row>
    <row r="794" spans="1:39" ht="15.75" customHeight="1" x14ac:dyDescent="0.2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212"/>
      <c r="Q794" s="9"/>
      <c r="R794" s="9"/>
      <c r="S794" s="9"/>
      <c r="T794" s="9"/>
      <c r="U794" s="9"/>
      <c r="V794" s="9"/>
      <c r="W794" s="9"/>
      <c r="X794" s="9"/>
      <c r="Y794" s="9"/>
      <c r="Z794" s="9"/>
      <c r="AA794" s="9"/>
      <c r="AB794" s="212"/>
      <c r="AC794" s="9"/>
      <c r="AD794" s="9"/>
      <c r="AE794" s="10"/>
      <c r="AF794" s="10"/>
      <c r="AG794" s="10"/>
      <c r="AH794" s="10"/>
      <c r="AI794" s="10"/>
      <c r="AJ794" s="10"/>
      <c r="AK794" s="10"/>
      <c r="AL794" s="10"/>
      <c r="AM794" s="10"/>
    </row>
    <row r="795" spans="1:39" ht="15.75" customHeight="1" x14ac:dyDescent="0.2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212"/>
      <c r="Q795" s="9"/>
      <c r="R795" s="9"/>
      <c r="S795" s="9"/>
      <c r="T795" s="9"/>
      <c r="U795" s="9"/>
      <c r="V795" s="9"/>
      <c r="W795" s="9"/>
      <c r="X795" s="9"/>
      <c r="Y795" s="9"/>
      <c r="Z795" s="9"/>
      <c r="AA795" s="9"/>
      <c r="AB795" s="212"/>
      <c r="AC795" s="9"/>
      <c r="AD795" s="9"/>
      <c r="AE795" s="10"/>
      <c r="AF795" s="10"/>
      <c r="AG795" s="10"/>
      <c r="AH795" s="10"/>
      <c r="AI795" s="10"/>
      <c r="AJ795" s="10"/>
      <c r="AK795" s="10"/>
      <c r="AL795" s="10"/>
      <c r="AM795" s="10"/>
    </row>
    <row r="796" spans="1:39" ht="15.75" customHeight="1" x14ac:dyDescent="0.2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212"/>
      <c r="Q796" s="9"/>
      <c r="R796" s="9"/>
      <c r="S796" s="9"/>
      <c r="T796" s="9"/>
      <c r="U796" s="9"/>
      <c r="V796" s="9"/>
      <c r="W796" s="9"/>
      <c r="X796" s="9"/>
      <c r="Y796" s="9"/>
      <c r="Z796" s="9"/>
      <c r="AA796" s="9"/>
      <c r="AB796" s="212"/>
      <c r="AC796" s="9"/>
      <c r="AD796" s="9"/>
      <c r="AE796" s="10"/>
      <c r="AF796" s="10"/>
      <c r="AG796" s="10"/>
      <c r="AH796" s="10"/>
      <c r="AI796" s="10"/>
      <c r="AJ796" s="10"/>
      <c r="AK796" s="10"/>
      <c r="AL796" s="10"/>
      <c r="AM796" s="10"/>
    </row>
    <row r="797" spans="1:39" ht="15.75" customHeight="1" x14ac:dyDescent="0.2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212"/>
      <c r="Q797" s="9"/>
      <c r="R797" s="9"/>
      <c r="S797" s="9"/>
      <c r="T797" s="9"/>
      <c r="U797" s="9"/>
      <c r="V797" s="9"/>
      <c r="W797" s="9"/>
      <c r="X797" s="9"/>
      <c r="Y797" s="9"/>
      <c r="Z797" s="9"/>
      <c r="AA797" s="9"/>
      <c r="AB797" s="212"/>
      <c r="AC797" s="9"/>
      <c r="AD797" s="9"/>
      <c r="AE797" s="10"/>
      <c r="AF797" s="10"/>
      <c r="AG797" s="10"/>
      <c r="AH797" s="10"/>
      <c r="AI797" s="10"/>
      <c r="AJ797" s="10"/>
      <c r="AK797" s="10"/>
      <c r="AL797" s="10"/>
      <c r="AM797" s="10"/>
    </row>
    <row r="798" spans="1:39" ht="15.75" customHeight="1" x14ac:dyDescent="0.2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212"/>
      <c r="Q798" s="9"/>
      <c r="R798" s="9"/>
      <c r="S798" s="9"/>
      <c r="T798" s="9"/>
      <c r="U798" s="9"/>
      <c r="V798" s="9"/>
      <c r="W798" s="9"/>
      <c r="X798" s="9"/>
      <c r="Y798" s="9"/>
      <c r="Z798" s="9"/>
      <c r="AA798" s="9"/>
      <c r="AB798" s="212"/>
      <c r="AC798" s="9"/>
      <c r="AD798" s="9"/>
      <c r="AE798" s="10"/>
      <c r="AF798" s="10"/>
      <c r="AG798" s="10"/>
      <c r="AH798" s="10"/>
      <c r="AI798" s="10"/>
      <c r="AJ798" s="10"/>
      <c r="AK798" s="10"/>
      <c r="AL798" s="10"/>
      <c r="AM798" s="10"/>
    </row>
    <row r="799" spans="1:39" ht="15.75" customHeight="1" x14ac:dyDescent="0.2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212"/>
      <c r="Q799" s="9"/>
      <c r="R799" s="9"/>
      <c r="S799" s="9"/>
      <c r="T799" s="9"/>
      <c r="U799" s="9"/>
      <c r="V799" s="9"/>
      <c r="W799" s="9"/>
      <c r="X799" s="9"/>
      <c r="Y799" s="9"/>
      <c r="Z799" s="9"/>
      <c r="AA799" s="9"/>
      <c r="AB799" s="212"/>
      <c r="AC799" s="9"/>
      <c r="AD799" s="9"/>
      <c r="AE799" s="10"/>
      <c r="AF799" s="10"/>
      <c r="AG799" s="10"/>
      <c r="AH799" s="10"/>
      <c r="AI799" s="10"/>
      <c r="AJ799" s="10"/>
      <c r="AK799" s="10"/>
      <c r="AL799" s="10"/>
      <c r="AM799" s="10"/>
    </row>
    <row r="800" spans="1:39" ht="15.75" customHeight="1" x14ac:dyDescent="0.2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212"/>
      <c r="Q800" s="9"/>
      <c r="R800" s="9"/>
      <c r="S800" s="9"/>
      <c r="T800" s="9"/>
      <c r="U800" s="9"/>
      <c r="V800" s="9"/>
      <c r="W800" s="9"/>
      <c r="X800" s="9"/>
      <c r="Y800" s="9"/>
      <c r="Z800" s="9"/>
      <c r="AA800" s="9"/>
      <c r="AB800" s="212"/>
      <c r="AC800" s="9"/>
      <c r="AD800" s="9"/>
      <c r="AE800" s="10"/>
      <c r="AF800" s="10"/>
      <c r="AG800" s="10"/>
      <c r="AH800" s="10"/>
      <c r="AI800" s="10"/>
      <c r="AJ800" s="10"/>
      <c r="AK800" s="10"/>
      <c r="AL800" s="10"/>
      <c r="AM800" s="10"/>
    </row>
    <row r="801" spans="1:39" ht="15.75" customHeight="1" x14ac:dyDescent="0.2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212"/>
      <c r="Q801" s="9"/>
      <c r="R801" s="9"/>
      <c r="S801" s="9"/>
      <c r="T801" s="9"/>
      <c r="U801" s="9"/>
      <c r="V801" s="9"/>
      <c r="W801" s="9"/>
      <c r="X801" s="9"/>
      <c r="Y801" s="9"/>
      <c r="Z801" s="9"/>
      <c r="AA801" s="9"/>
      <c r="AB801" s="212"/>
      <c r="AC801" s="9"/>
      <c r="AD801" s="9"/>
      <c r="AE801" s="10"/>
      <c r="AF801" s="10"/>
      <c r="AG801" s="10"/>
      <c r="AH801" s="10"/>
      <c r="AI801" s="10"/>
      <c r="AJ801" s="10"/>
      <c r="AK801" s="10"/>
      <c r="AL801" s="10"/>
      <c r="AM801" s="10"/>
    </row>
    <row r="802" spans="1:39" ht="15.75" customHeight="1" x14ac:dyDescent="0.2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212"/>
      <c r="Q802" s="9"/>
      <c r="R802" s="9"/>
      <c r="S802" s="9"/>
      <c r="T802" s="9"/>
      <c r="U802" s="9"/>
      <c r="V802" s="9"/>
      <c r="W802" s="9"/>
      <c r="X802" s="9"/>
      <c r="Y802" s="9"/>
      <c r="Z802" s="9"/>
      <c r="AA802" s="9"/>
      <c r="AB802" s="212"/>
      <c r="AC802" s="9"/>
      <c r="AD802" s="9"/>
      <c r="AE802" s="10"/>
      <c r="AF802" s="10"/>
      <c r="AG802" s="10"/>
      <c r="AH802" s="10"/>
      <c r="AI802" s="10"/>
      <c r="AJ802" s="10"/>
      <c r="AK802" s="10"/>
      <c r="AL802" s="10"/>
      <c r="AM802" s="10"/>
    </row>
    <row r="803" spans="1:39" ht="15.75" customHeight="1" x14ac:dyDescent="0.2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212"/>
      <c r="Q803" s="9"/>
      <c r="R803" s="9"/>
      <c r="S803" s="9"/>
      <c r="T803" s="9"/>
      <c r="U803" s="9"/>
      <c r="V803" s="9"/>
      <c r="W803" s="9"/>
      <c r="X803" s="9"/>
      <c r="Y803" s="9"/>
      <c r="Z803" s="9"/>
      <c r="AA803" s="9"/>
      <c r="AB803" s="212"/>
      <c r="AC803" s="9"/>
      <c r="AD803" s="9"/>
      <c r="AE803" s="10"/>
      <c r="AF803" s="10"/>
      <c r="AG803" s="10"/>
      <c r="AH803" s="10"/>
      <c r="AI803" s="10"/>
      <c r="AJ803" s="10"/>
      <c r="AK803" s="10"/>
      <c r="AL803" s="10"/>
      <c r="AM803" s="10"/>
    </row>
    <row r="804" spans="1:39" ht="15.75" customHeight="1" x14ac:dyDescent="0.2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212"/>
      <c r="Q804" s="9"/>
      <c r="R804" s="9"/>
      <c r="S804" s="9"/>
      <c r="T804" s="9"/>
      <c r="U804" s="9"/>
      <c r="V804" s="9"/>
      <c r="W804" s="9"/>
      <c r="X804" s="9"/>
      <c r="Y804" s="9"/>
      <c r="Z804" s="9"/>
      <c r="AA804" s="9"/>
      <c r="AB804" s="212"/>
      <c r="AC804" s="9"/>
      <c r="AD804" s="9"/>
      <c r="AE804" s="10"/>
      <c r="AF804" s="10"/>
      <c r="AG804" s="10"/>
      <c r="AH804" s="10"/>
      <c r="AI804" s="10"/>
      <c r="AJ804" s="10"/>
      <c r="AK804" s="10"/>
      <c r="AL804" s="10"/>
      <c r="AM804" s="10"/>
    </row>
    <row r="805" spans="1:39" ht="15.75" customHeight="1" x14ac:dyDescent="0.2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212"/>
      <c r="Q805" s="9"/>
      <c r="R805" s="9"/>
      <c r="S805" s="9"/>
      <c r="T805" s="9"/>
      <c r="U805" s="9"/>
      <c r="V805" s="9"/>
      <c r="W805" s="9"/>
      <c r="X805" s="9"/>
      <c r="Y805" s="9"/>
      <c r="Z805" s="9"/>
      <c r="AA805" s="9"/>
      <c r="AB805" s="212"/>
      <c r="AC805" s="9"/>
      <c r="AD805" s="9"/>
      <c r="AE805" s="10"/>
      <c r="AF805" s="10"/>
      <c r="AG805" s="10"/>
      <c r="AH805" s="10"/>
      <c r="AI805" s="10"/>
      <c r="AJ805" s="10"/>
      <c r="AK805" s="10"/>
      <c r="AL805" s="10"/>
      <c r="AM805" s="10"/>
    </row>
    <row r="806" spans="1:39" ht="15.75" customHeight="1" x14ac:dyDescent="0.2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212"/>
      <c r="Q806" s="9"/>
      <c r="R806" s="9"/>
      <c r="S806" s="9"/>
      <c r="T806" s="9"/>
      <c r="U806" s="9"/>
      <c r="V806" s="9"/>
      <c r="W806" s="9"/>
      <c r="X806" s="9"/>
      <c r="Y806" s="9"/>
      <c r="Z806" s="9"/>
      <c r="AA806" s="9"/>
      <c r="AB806" s="212"/>
      <c r="AC806" s="9"/>
      <c r="AD806" s="9"/>
      <c r="AE806" s="10"/>
      <c r="AF806" s="10"/>
      <c r="AG806" s="10"/>
      <c r="AH806" s="10"/>
      <c r="AI806" s="10"/>
      <c r="AJ806" s="10"/>
      <c r="AK806" s="10"/>
      <c r="AL806" s="10"/>
      <c r="AM806" s="10"/>
    </row>
    <row r="807" spans="1:39" ht="15.75" customHeight="1" x14ac:dyDescent="0.2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212"/>
      <c r="Q807" s="9"/>
      <c r="R807" s="9"/>
      <c r="S807" s="9"/>
      <c r="T807" s="9"/>
      <c r="U807" s="9"/>
      <c r="V807" s="9"/>
      <c r="W807" s="9"/>
      <c r="X807" s="9"/>
      <c r="Y807" s="9"/>
      <c r="Z807" s="9"/>
      <c r="AA807" s="9"/>
      <c r="AB807" s="212"/>
      <c r="AC807" s="9"/>
      <c r="AD807" s="9"/>
      <c r="AE807" s="10"/>
      <c r="AF807" s="10"/>
      <c r="AG807" s="10"/>
      <c r="AH807" s="10"/>
      <c r="AI807" s="10"/>
      <c r="AJ807" s="10"/>
      <c r="AK807" s="10"/>
      <c r="AL807" s="10"/>
      <c r="AM807" s="10"/>
    </row>
    <row r="808" spans="1:39" ht="15.75" customHeight="1" x14ac:dyDescent="0.2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212"/>
      <c r="Q808" s="9"/>
      <c r="R808" s="9"/>
      <c r="S808" s="9"/>
      <c r="T808" s="9"/>
      <c r="U808" s="9"/>
      <c r="V808" s="9"/>
      <c r="W808" s="9"/>
      <c r="X808" s="9"/>
      <c r="Y808" s="9"/>
      <c r="Z808" s="9"/>
      <c r="AA808" s="9"/>
      <c r="AB808" s="212"/>
      <c r="AC808" s="9"/>
      <c r="AD808" s="9"/>
      <c r="AE808" s="10"/>
      <c r="AF808" s="10"/>
      <c r="AG808" s="10"/>
      <c r="AH808" s="10"/>
      <c r="AI808" s="10"/>
      <c r="AJ808" s="10"/>
      <c r="AK808" s="10"/>
      <c r="AL808" s="10"/>
      <c r="AM808" s="10"/>
    </row>
    <row r="809" spans="1:39" ht="15.75" customHeight="1" x14ac:dyDescent="0.2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212"/>
      <c r="Q809" s="9"/>
      <c r="R809" s="9"/>
      <c r="S809" s="9"/>
      <c r="T809" s="9"/>
      <c r="U809" s="9"/>
      <c r="V809" s="9"/>
      <c r="W809" s="9"/>
      <c r="X809" s="9"/>
      <c r="Y809" s="9"/>
      <c r="Z809" s="9"/>
      <c r="AA809" s="9"/>
      <c r="AB809" s="212"/>
      <c r="AC809" s="9"/>
      <c r="AD809" s="9"/>
      <c r="AE809" s="10"/>
      <c r="AF809" s="10"/>
      <c r="AG809" s="10"/>
      <c r="AH809" s="10"/>
      <c r="AI809" s="10"/>
      <c r="AJ809" s="10"/>
      <c r="AK809" s="10"/>
      <c r="AL809" s="10"/>
      <c r="AM809" s="10"/>
    </row>
    <row r="810" spans="1:39" ht="15.75" customHeight="1" x14ac:dyDescent="0.2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212"/>
      <c r="Q810" s="9"/>
      <c r="R810" s="9"/>
      <c r="S810" s="9"/>
      <c r="T810" s="9"/>
      <c r="U810" s="9"/>
      <c r="V810" s="9"/>
      <c r="W810" s="9"/>
      <c r="X810" s="9"/>
      <c r="Y810" s="9"/>
      <c r="Z810" s="9"/>
      <c r="AA810" s="9"/>
      <c r="AB810" s="212"/>
      <c r="AC810" s="9"/>
      <c r="AD810" s="9"/>
      <c r="AE810" s="10"/>
      <c r="AF810" s="10"/>
      <c r="AG810" s="10"/>
      <c r="AH810" s="10"/>
      <c r="AI810" s="10"/>
      <c r="AJ810" s="10"/>
      <c r="AK810" s="10"/>
      <c r="AL810" s="10"/>
      <c r="AM810" s="10"/>
    </row>
    <row r="811" spans="1:39" ht="15.75" customHeight="1" x14ac:dyDescent="0.2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212"/>
      <c r="Q811" s="9"/>
      <c r="R811" s="9"/>
      <c r="S811" s="9"/>
      <c r="T811" s="9"/>
      <c r="U811" s="9"/>
      <c r="V811" s="9"/>
      <c r="W811" s="9"/>
      <c r="X811" s="9"/>
      <c r="Y811" s="9"/>
      <c r="Z811" s="9"/>
      <c r="AA811" s="9"/>
      <c r="AB811" s="212"/>
      <c r="AC811" s="9"/>
      <c r="AD811" s="9"/>
      <c r="AE811" s="10"/>
      <c r="AF811" s="10"/>
      <c r="AG811" s="10"/>
      <c r="AH811" s="10"/>
      <c r="AI811" s="10"/>
      <c r="AJ811" s="10"/>
      <c r="AK811" s="10"/>
      <c r="AL811" s="10"/>
      <c r="AM811" s="10"/>
    </row>
    <row r="812" spans="1:39" ht="15.75" customHeight="1" x14ac:dyDescent="0.2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212"/>
      <c r="Q812" s="9"/>
      <c r="R812" s="9"/>
      <c r="S812" s="9"/>
      <c r="T812" s="9"/>
      <c r="U812" s="9"/>
      <c r="V812" s="9"/>
      <c r="W812" s="9"/>
      <c r="X812" s="9"/>
      <c r="Y812" s="9"/>
      <c r="Z812" s="9"/>
      <c r="AA812" s="9"/>
      <c r="AB812" s="212"/>
      <c r="AC812" s="9"/>
      <c r="AD812" s="9"/>
      <c r="AE812" s="10"/>
      <c r="AF812" s="10"/>
      <c r="AG812" s="10"/>
      <c r="AH812" s="10"/>
      <c r="AI812" s="10"/>
      <c r="AJ812" s="10"/>
      <c r="AK812" s="10"/>
      <c r="AL812" s="10"/>
      <c r="AM812" s="10"/>
    </row>
    <row r="813" spans="1:39" ht="15.75" customHeight="1" x14ac:dyDescent="0.2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212"/>
      <c r="Q813" s="9"/>
      <c r="R813" s="9"/>
      <c r="S813" s="9"/>
      <c r="T813" s="9"/>
      <c r="U813" s="9"/>
      <c r="V813" s="9"/>
      <c r="W813" s="9"/>
      <c r="X813" s="9"/>
      <c r="Y813" s="9"/>
      <c r="Z813" s="9"/>
      <c r="AA813" s="9"/>
      <c r="AB813" s="212"/>
      <c r="AC813" s="9"/>
      <c r="AD813" s="9"/>
      <c r="AE813" s="10"/>
      <c r="AF813" s="10"/>
      <c r="AG813" s="10"/>
      <c r="AH813" s="10"/>
      <c r="AI813" s="10"/>
      <c r="AJ813" s="10"/>
      <c r="AK813" s="10"/>
      <c r="AL813" s="10"/>
      <c r="AM813" s="10"/>
    </row>
    <row r="814" spans="1:39" ht="15.75" customHeight="1" x14ac:dyDescent="0.2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212"/>
      <c r="Q814" s="9"/>
      <c r="R814" s="9"/>
      <c r="S814" s="9"/>
      <c r="T814" s="9"/>
      <c r="U814" s="9"/>
      <c r="V814" s="9"/>
      <c r="W814" s="9"/>
      <c r="X814" s="9"/>
      <c r="Y814" s="9"/>
      <c r="Z814" s="9"/>
      <c r="AA814" s="9"/>
      <c r="AB814" s="212"/>
      <c r="AC814" s="9"/>
      <c r="AD814" s="9"/>
      <c r="AE814" s="10"/>
      <c r="AF814" s="10"/>
      <c r="AG814" s="10"/>
      <c r="AH814" s="10"/>
      <c r="AI814" s="10"/>
      <c r="AJ814" s="10"/>
      <c r="AK814" s="10"/>
      <c r="AL814" s="10"/>
      <c r="AM814" s="10"/>
    </row>
    <row r="815" spans="1:39" ht="15.75" customHeight="1" x14ac:dyDescent="0.2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212"/>
      <c r="Q815" s="9"/>
      <c r="R815" s="9"/>
      <c r="S815" s="9"/>
      <c r="T815" s="9"/>
      <c r="U815" s="9"/>
      <c r="V815" s="9"/>
      <c r="W815" s="9"/>
      <c r="X815" s="9"/>
      <c r="Y815" s="9"/>
      <c r="Z815" s="9"/>
      <c r="AA815" s="9"/>
      <c r="AB815" s="212"/>
      <c r="AC815" s="9"/>
      <c r="AD815" s="9"/>
      <c r="AE815" s="10"/>
      <c r="AF815" s="10"/>
      <c r="AG815" s="10"/>
      <c r="AH815" s="10"/>
      <c r="AI815" s="10"/>
      <c r="AJ815" s="10"/>
      <c r="AK815" s="10"/>
      <c r="AL815" s="10"/>
      <c r="AM815" s="10"/>
    </row>
    <row r="816" spans="1:39" ht="15.75" customHeight="1" x14ac:dyDescent="0.2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212"/>
      <c r="Q816" s="9"/>
      <c r="R816" s="9"/>
      <c r="S816" s="9"/>
      <c r="T816" s="9"/>
      <c r="U816" s="9"/>
      <c r="V816" s="9"/>
      <c r="W816" s="9"/>
      <c r="X816" s="9"/>
      <c r="Y816" s="9"/>
      <c r="Z816" s="9"/>
      <c r="AA816" s="9"/>
      <c r="AB816" s="212"/>
      <c r="AC816" s="9"/>
      <c r="AD816" s="9"/>
      <c r="AE816" s="10"/>
      <c r="AF816" s="10"/>
      <c r="AG816" s="10"/>
      <c r="AH816" s="10"/>
      <c r="AI816" s="10"/>
      <c r="AJ816" s="10"/>
      <c r="AK816" s="10"/>
      <c r="AL816" s="10"/>
      <c r="AM816" s="10"/>
    </row>
    <row r="817" spans="1:39" ht="15.75" customHeight="1" x14ac:dyDescent="0.2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212"/>
      <c r="Q817" s="9"/>
      <c r="R817" s="9"/>
      <c r="S817" s="9"/>
      <c r="T817" s="9"/>
      <c r="U817" s="9"/>
      <c r="V817" s="9"/>
      <c r="W817" s="9"/>
      <c r="X817" s="9"/>
      <c r="Y817" s="9"/>
      <c r="Z817" s="9"/>
      <c r="AA817" s="9"/>
      <c r="AB817" s="212"/>
      <c r="AC817" s="9"/>
      <c r="AD817" s="9"/>
      <c r="AE817" s="10"/>
      <c r="AF817" s="10"/>
      <c r="AG817" s="10"/>
      <c r="AH817" s="10"/>
      <c r="AI817" s="10"/>
      <c r="AJ817" s="10"/>
      <c r="AK817" s="10"/>
      <c r="AL817" s="10"/>
      <c r="AM817" s="10"/>
    </row>
    <row r="818" spans="1:39" ht="15.75" customHeight="1" x14ac:dyDescent="0.2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212"/>
      <c r="Q818" s="9"/>
      <c r="R818" s="9"/>
      <c r="S818" s="9"/>
      <c r="T818" s="9"/>
      <c r="U818" s="9"/>
      <c r="V818" s="9"/>
      <c r="W818" s="9"/>
      <c r="X818" s="9"/>
      <c r="Y818" s="9"/>
      <c r="Z818" s="9"/>
      <c r="AA818" s="9"/>
      <c r="AB818" s="212"/>
      <c r="AC818" s="9"/>
      <c r="AD818" s="9"/>
      <c r="AE818" s="10"/>
      <c r="AF818" s="10"/>
      <c r="AG818" s="10"/>
      <c r="AH818" s="10"/>
      <c r="AI818" s="10"/>
      <c r="AJ818" s="10"/>
      <c r="AK818" s="10"/>
      <c r="AL818" s="10"/>
      <c r="AM818" s="10"/>
    </row>
    <row r="819" spans="1:39" ht="15.75" customHeight="1" x14ac:dyDescent="0.2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212"/>
      <c r="Q819" s="9"/>
      <c r="R819" s="9"/>
      <c r="S819" s="9"/>
      <c r="T819" s="9"/>
      <c r="U819" s="9"/>
      <c r="V819" s="9"/>
      <c r="W819" s="9"/>
      <c r="X819" s="9"/>
      <c r="Y819" s="9"/>
      <c r="Z819" s="9"/>
      <c r="AA819" s="9"/>
      <c r="AB819" s="212"/>
      <c r="AC819" s="9"/>
      <c r="AD819" s="9"/>
      <c r="AE819" s="10"/>
      <c r="AF819" s="10"/>
      <c r="AG819" s="10"/>
      <c r="AH819" s="10"/>
      <c r="AI819" s="10"/>
      <c r="AJ819" s="10"/>
      <c r="AK819" s="10"/>
      <c r="AL819" s="10"/>
      <c r="AM819" s="10"/>
    </row>
    <row r="820" spans="1:39" ht="15.75" customHeight="1" x14ac:dyDescent="0.2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212"/>
      <c r="Q820" s="9"/>
      <c r="R820" s="9"/>
      <c r="S820" s="9"/>
      <c r="T820" s="9"/>
      <c r="U820" s="9"/>
      <c r="V820" s="9"/>
      <c r="W820" s="9"/>
      <c r="X820" s="9"/>
      <c r="Y820" s="9"/>
      <c r="Z820" s="9"/>
      <c r="AA820" s="9"/>
      <c r="AB820" s="212"/>
      <c r="AC820" s="9"/>
      <c r="AD820" s="9"/>
      <c r="AE820" s="10"/>
      <c r="AF820" s="10"/>
      <c r="AG820" s="10"/>
      <c r="AH820" s="10"/>
      <c r="AI820" s="10"/>
      <c r="AJ820" s="10"/>
      <c r="AK820" s="10"/>
      <c r="AL820" s="10"/>
      <c r="AM820" s="10"/>
    </row>
    <row r="821" spans="1:39" ht="15.75" customHeight="1" x14ac:dyDescent="0.2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212"/>
      <c r="Q821" s="9"/>
      <c r="R821" s="9"/>
      <c r="S821" s="9"/>
      <c r="T821" s="9"/>
      <c r="U821" s="9"/>
      <c r="V821" s="9"/>
      <c r="W821" s="9"/>
      <c r="X821" s="9"/>
      <c r="Y821" s="9"/>
      <c r="Z821" s="9"/>
      <c r="AA821" s="9"/>
      <c r="AB821" s="212"/>
      <c r="AC821" s="9"/>
      <c r="AD821" s="9"/>
      <c r="AE821" s="10"/>
      <c r="AF821" s="10"/>
      <c r="AG821" s="10"/>
      <c r="AH821" s="10"/>
      <c r="AI821" s="10"/>
      <c r="AJ821" s="10"/>
      <c r="AK821" s="10"/>
      <c r="AL821" s="10"/>
      <c r="AM821" s="10"/>
    </row>
    <row r="822" spans="1:39" ht="15.75" customHeight="1" x14ac:dyDescent="0.2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212"/>
      <c r="Q822" s="9"/>
      <c r="R822" s="9"/>
      <c r="S822" s="9"/>
      <c r="T822" s="9"/>
      <c r="U822" s="9"/>
      <c r="V822" s="9"/>
      <c r="W822" s="9"/>
      <c r="X822" s="9"/>
      <c r="Y822" s="9"/>
      <c r="Z822" s="9"/>
      <c r="AA822" s="9"/>
      <c r="AB822" s="212"/>
      <c r="AC822" s="9"/>
      <c r="AD822" s="9"/>
      <c r="AE822" s="10"/>
      <c r="AF822" s="10"/>
      <c r="AG822" s="10"/>
      <c r="AH822" s="10"/>
      <c r="AI822" s="10"/>
      <c r="AJ822" s="10"/>
      <c r="AK822" s="10"/>
      <c r="AL822" s="10"/>
      <c r="AM822" s="10"/>
    </row>
    <row r="823" spans="1:39" ht="15.75" customHeight="1" x14ac:dyDescent="0.2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212"/>
      <c r="Q823" s="9"/>
      <c r="R823" s="9"/>
      <c r="S823" s="9"/>
      <c r="T823" s="9"/>
      <c r="U823" s="9"/>
      <c r="V823" s="9"/>
      <c r="W823" s="9"/>
      <c r="X823" s="9"/>
      <c r="Y823" s="9"/>
      <c r="Z823" s="9"/>
      <c r="AA823" s="9"/>
      <c r="AB823" s="212"/>
      <c r="AC823" s="9"/>
      <c r="AD823" s="9"/>
      <c r="AE823" s="10"/>
      <c r="AF823" s="10"/>
      <c r="AG823" s="10"/>
      <c r="AH823" s="10"/>
      <c r="AI823" s="10"/>
      <c r="AJ823" s="10"/>
      <c r="AK823" s="10"/>
      <c r="AL823" s="10"/>
      <c r="AM823" s="10"/>
    </row>
    <row r="824" spans="1:39" ht="15.75" customHeight="1" x14ac:dyDescent="0.2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212"/>
      <c r="Q824" s="9"/>
      <c r="R824" s="9"/>
      <c r="S824" s="9"/>
      <c r="T824" s="9"/>
      <c r="U824" s="9"/>
      <c r="V824" s="9"/>
      <c r="W824" s="9"/>
      <c r="X824" s="9"/>
      <c r="Y824" s="9"/>
      <c r="Z824" s="9"/>
      <c r="AA824" s="9"/>
      <c r="AB824" s="212"/>
      <c r="AC824" s="9"/>
      <c r="AD824" s="9"/>
      <c r="AE824" s="10"/>
      <c r="AF824" s="10"/>
      <c r="AG824" s="10"/>
      <c r="AH824" s="10"/>
      <c r="AI824" s="10"/>
      <c r="AJ824" s="10"/>
      <c r="AK824" s="10"/>
      <c r="AL824" s="10"/>
      <c r="AM824" s="10"/>
    </row>
    <row r="825" spans="1:39" ht="15.75" customHeight="1" x14ac:dyDescent="0.2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212"/>
      <c r="Q825" s="9"/>
      <c r="R825" s="9"/>
      <c r="S825" s="9"/>
      <c r="T825" s="9"/>
      <c r="U825" s="9"/>
      <c r="V825" s="9"/>
      <c r="W825" s="9"/>
      <c r="X825" s="9"/>
      <c r="Y825" s="9"/>
      <c r="Z825" s="9"/>
      <c r="AA825" s="9"/>
      <c r="AB825" s="212"/>
      <c r="AC825" s="9"/>
      <c r="AD825" s="9"/>
      <c r="AE825" s="10"/>
      <c r="AF825" s="10"/>
      <c r="AG825" s="10"/>
      <c r="AH825" s="10"/>
      <c r="AI825" s="10"/>
      <c r="AJ825" s="10"/>
      <c r="AK825" s="10"/>
      <c r="AL825" s="10"/>
      <c r="AM825" s="10"/>
    </row>
    <row r="826" spans="1:39" ht="15.75" customHeight="1" x14ac:dyDescent="0.2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212"/>
      <c r="Q826" s="9"/>
      <c r="R826" s="9"/>
      <c r="S826" s="9"/>
      <c r="T826" s="9"/>
      <c r="U826" s="9"/>
      <c r="V826" s="9"/>
      <c r="W826" s="9"/>
      <c r="X826" s="9"/>
      <c r="Y826" s="9"/>
      <c r="Z826" s="9"/>
      <c r="AA826" s="9"/>
      <c r="AB826" s="212"/>
      <c r="AC826" s="9"/>
      <c r="AD826" s="9"/>
      <c r="AE826" s="10"/>
      <c r="AF826" s="10"/>
      <c r="AG826" s="10"/>
      <c r="AH826" s="10"/>
      <c r="AI826" s="10"/>
      <c r="AJ826" s="10"/>
      <c r="AK826" s="10"/>
      <c r="AL826" s="10"/>
      <c r="AM826" s="10"/>
    </row>
    <row r="827" spans="1:39" ht="15.75" customHeight="1" x14ac:dyDescent="0.2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212"/>
      <c r="Q827" s="9"/>
      <c r="R827" s="9"/>
      <c r="S827" s="9"/>
      <c r="T827" s="9"/>
      <c r="U827" s="9"/>
      <c r="V827" s="9"/>
      <c r="W827" s="9"/>
      <c r="X827" s="9"/>
      <c r="Y827" s="9"/>
      <c r="Z827" s="9"/>
      <c r="AA827" s="9"/>
      <c r="AB827" s="212"/>
      <c r="AC827" s="9"/>
      <c r="AD827" s="9"/>
      <c r="AE827" s="10"/>
      <c r="AF827" s="10"/>
      <c r="AG827" s="10"/>
      <c r="AH827" s="10"/>
      <c r="AI827" s="10"/>
      <c r="AJ827" s="10"/>
      <c r="AK827" s="10"/>
      <c r="AL827" s="10"/>
      <c r="AM827" s="10"/>
    </row>
    <row r="828" spans="1:39" ht="15.75" customHeight="1" x14ac:dyDescent="0.2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212"/>
      <c r="Q828" s="9"/>
      <c r="R828" s="9"/>
      <c r="S828" s="9"/>
      <c r="T828" s="9"/>
      <c r="U828" s="9"/>
      <c r="V828" s="9"/>
      <c r="W828" s="9"/>
      <c r="X828" s="9"/>
      <c r="Y828" s="9"/>
      <c r="Z828" s="9"/>
      <c r="AA828" s="9"/>
      <c r="AB828" s="212"/>
      <c r="AC828" s="9"/>
      <c r="AD828" s="9"/>
      <c r="AE828" s="10"/>
      <c r="AF828" s="10"/>
      <c r="AG828" s="10"/>
      <c r="AH828" s="10"/>
      <c r="AI828" s="10"/>
      <c r="AJ828" s="10"/>
      <c r="AK828" s="10"/>
      <c r="AL828" s="10"/>
      <c r="AM828" s="10"/>
    </row>
    <row r="829" spans="1:39" ht="15.75" customHeight="1" x14ac:dyDescent="0.2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212"/>
      <c r="Q829" s="9"/>
      <c r="R829" s="9"/>
      <c r="S829" s="9"/>
      <c r="T829" s="9"/>
      <c r="U829" s="9"/>
      <c r="V829" s="9"/>
      <c r="W829" s="9"/>
      <c r="X829" s="9"/>
      <c r="Y829" s="9"/>
      <c r="Z829" s="9"/>
      <c r="AA829" s="9"/>
      <c r="AB829" s="212"/>
      <c r="AC829" s="9"/>
      <c r="AD829" s="9"/>
      <c r="AE829" s="10"/>
      <c r="AF829" s="10"/>
      <c r="AG829" s="10"/>
      <c r="AH829" s="10"/>
      <c r="AI829" s="10"/>
      <c r="AJ829" s="10"/>
      <c r="AK829" s="10"/>
      <c r="AL829" s="10"/>
      <c r="AM829" s="10"/>
    </row>
    <row r="830" spans="1:39" ht="15.75" customHeight="1" x14ac:dyDescent="0.2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212"/>
      <c r="Q830" s="9"/>
      <c r="R830" s="9"/>
      <c r="S830" s="9"/>
      <c r="T830" s="9"/>
      <c r="U830" s="9"/>
      <c r="V830" s="9"/>
      <c r="W830" s="9"/>
      <c r="X830" s="9"/>
      <c r="Y830" s="9"/>
      <c r="Z830" s="9"/>
      <c r="AA830" s="9"/>
      <c r="AB830" s="212"/>
      <c r="AC830" s="9"/>
      <c r="AD830" s="9"/>
      <c r="AE830" s="10"/>
      <c r="AF830" s="10"/>
      <c r="AG830" s="10"/>
      <c r="AH830" s="10"/>
      <c r="AI830" s="10"/>
      <c r="AJ830" s="10"/>
      <c r="AK830" s="10"/>
      <c r="AL830" s="10"/>
      <c r="AM830" s="10"/>
    </row>
    <row r="831" spans="1:39" ht="15.75" customHeight="1" x14ac:dyDescent="0.2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212"/>
      <c r="Q831" s="9"/>
      <c r="R831" s="9"/>
      <c r="S831" s="9"/>
      <c r="T831" s="9"/>
      <c r="U831" s="9"/>
      <c r="V831" s="9"/>
      <c r="W831" s="9"/>
      <c r="X831" s="9"/>
      <c r="Y831" s="9"/>
      <c r="Z831" s="9"/>
      <c r="AA831" s="9"/>
      <c r="AB831" s="212"/>
      <c r="AC831" s="9"/>
      <c r="AD831" s="9"/>
      <c r="AE831" s="10"/>
      <c r="AF831" s="10"/>
      <c r="AG831" s="10"/>
      <c r="AH831" s="10"/>
      <c r="AI831" s="10"/>
      <c r="AJ831" s="10"/>
      <c r="AK831" s="10"/>
      <c r="AL831" s="10"/>
      <c r="AM831" s="10"/>
    </row>
    <row r="832" spans="1:39" ht="15.75" customHeight="1" x14ac:dyDescent="0.2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212"/>
      <c r="Q832" s="9"/>
      <c r="R832" s="9"/>
      <c r="S832" s="9"/>
      <c r="T832" s="9"/>
      <c r="U832" s="9"/>
      <c r="V832" s="9"/>
      <c r="W832" s="9"/>
      <c r="X832" s="9"/>
      <c r="Y832" s="9"/>
      <c r="Z832" s="9"/>
      <c r="AA832" s="9"/>
      <c r="AB832" s="212"/>
      <c r="AC832" s="9"/>
      <c r="AD832" s="9"/>
      <c r="AE832" s="10"/>
      <c r="AF832" s="10"/>
      <c r="AG832" s="10"/>
      <c r="AH832" s="10"/>
      <c r="AI832" s="10"/>
      <c r="AJ832" s="10"/>
      <c r="AK832" s="10"/>
      <c r="AL832" s="10"/>
      <c r="AM832" s="10"/>
    </row>
    <row r="833" spans="1:39" ht="15.75" customHeight="1" x14ac:dyDescent="0.2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212"/>
      <c r="Q833" s="9"/>
      <c r="R833" s="9"/>
      <c r="S833" s="9"/>
      <c r="T833" s="9"/>
      <c r="U833" s="9"/>
      <c r="V833" s="9"/>
      <c r="W833" s="9"/>
      <c r="X833" s="9"/>
      <c r="Y833" s="9"/>
      <c r="Z833" s="9"/>
      <c r="AA833" s="9"/>
      <c r="AB833" s="212"/>
      <c r="AC833" s="9"/>
      <c r="AD833" s="9"/>
      <c r="AE833" s="10"/>
      <c r="AF833" s="10"/>
      <c r="AG833" s="10"/>
      <c r="AH833" s="10"/>
      <c r="AI833" s="10"/>
      <c r="AJ833" s="10"/>
      <c r="AK833" s="10"/>
      <c r="AL833" s="10"/>
      <c r="AM833" s="10"/>
    </row>
    <row r="834" spans="1:39" ht="15.75" customHeight="1" x14ac:dyDescent="0.2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212"/>
      <c r="Q834" s="9"/>
      <c r="R834" s="9"/>
      <c r="S834" s="9"/>
      <c r="T834" s="9"/>
      <c r="U834" s="9"/>
      <c r="V834" s="9"/>
      <c r="W834" s="9"/>
      <c r="X834" s="9"/>
      <c r="Y834" s="9"/>
      <c r="Z834" s="9"/>
      <c r="AA834" s="9"/>
      <c r="AB834" s="212"/>
      <c r="AC834" s="9"/>
      <c r="AD834" s="9"/>
      <c r="AE834" s="10"/>
      <c r="AF834" s="10"/>
      <c r="AG834" s="10"/>
      <c r="AH834" s="10"/>
      <c r="AI834" s="10"/>
      <c r="AJ834" s="10"/>
      <c r="AK834" s="10"/>
      <c r="AL834" s="10"/>
      <c r="AM834" s="10"/>
    </row>
    <row r="835" spans="1:39" ht="15.75" customHeight="1" x14ac:dyDescent="0.2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212"/>
      <c r="Q835" s="9"/>
      <c r="R835" s="9"/>
      <c r="S835" s="9"/>
      <c r="T835" s="9"/>
      <c r="U835" s="9"/>
      <c r="V835" s="9"/>
      <c r="W835" s="9"/>
      <c r="X835" s="9"/>
      <c r="Y835" s="9"/>
      <c r="Z835" s="9"/>
      <c r="AA835" s="9"/>
      <c r="AB835" s="212"/>
      <c r="AC835" s="9"/>
      <c r="AD835" s="9"/>
      <c r="AE835" s="10"/>
      <c r="AF835" s="10"/>
      <c r="AG835" s="10"/>
      <c r="AH835" s="10"/>
      <c r="AI835" s="10"/>
      <c r="AJ835" s="10"/>
      <c r="AK835" s="10"/>
      <c r="AL835" s="10"/>
      <c r="AM835" s="10"/>
    </row>
    <row r="836" spans="1:39" ht="15.75" customHeight="1" x14ac:dyDescent="0.2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212"/>
      <c r="Q836" s="9"/>
      <c r="R836" s="9"/>
      <c r="S836" s="9"/>
      <c r="T836" s="9"/>
      <c r="U836" s="9"/>
      <c r="V836" s="9"/>
      <c r="W836" s="9"/>
      <c r="X836" s="9"/>
      <c r="Y836" s="9"/>
      <c r="Z836" s="9"/>
      <c r="AA836" s="9"/>
      <c r="AB836" s="212"/>
      <c r="AC836" s="9"/>
      <c r="AD836" s="9"/>
      <c r="AE836" s="10"/>
      <c r="AF836" s="10"/>
      <c r="AG836" s="10"/>
      <c r="AH836" s="10"/>
      <c r="AI836" s="10"/>
      <c r="AJ836" s="10"/>
      <c r="AK836" s="10"/>
      <c r="AL836" s="10"/>
      <c r="AM836" s="10"/>
    </row>
    <row r="837" spans="1:39" ht="15.75" customHeight="1" x14ac:dyDescent="0.2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212"/>
      <c r="Q837" s="9"/>
      <c r="R837" s="9"/>
      <c r="S837" s="9"/>
      <c r="T837" s="9"/>
      <c r="U837" s="9"/>
      <c r="V837" s="9"/>
      <c r="W837" s="9"/>
      <c r="X837" s="9"/>
      <c r="Y837" s="9"/>
      <c r="Z837" s="9"/>
      <c r="AA837" s="9"/>
      <c r="AB837" s="212"/>
      <c r="AC837" s="9"/>
      <c r="AD837" s="9"/>
      <c r="AE837" s="10"/>
      <c r="AF837" s="10"/>
      <c r="AG837" s="10"/>
      <c r="AH837" s="10"/>
      <c r="AI837" s="10"/>
      <c r="AJ837" s="10"/>
      <c r="AK837" s="10"/>
      <c r="AL837" s="10"/>
      <c r="AM837" s="10"/>
    </row>
    <row r="838" spans="1:39" ht="15.75" customHeight="1" x14ac:dyDescent="0.2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212"/>
      <c r="Q838" s="9"/>
      <c r="R838" s="9"/>
      <c r="S838" s="9"/>
      <c r="T838" s="9"/>
      <c r="U838" s="9"/>
      <c r="V838" s="9"/>
      <c r="W838" s="9"/>
      <c r="X838" s="9"/>
      <c r="Y838" s="9"/>
      <c r="Z838" s="9"/>
      <c r="AA838" s="9"/>
      <c r="AB838" s="212"/>
      <c r="AC838" s="9"/>
      <c r="AD838" s="9"/>
      <c r="AE838" s="10"/>
      <c r="AF838" s="10"/>
      <c r="AG838" s="10"/>
      <c r="AH838" s="10"/>
      <c r="AI838" s="10"/>
      <c r="AJ838" s="10"/>
      <c r="AK838" s="10"/>
      <c r="AL838" s="10"/>
      <c r="AM838" s="10"/>
    </row>
    <row r="839" spans="1:39" ht="15.75" customHeight="1" x14ac:dyDescent="0.2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212"/>
      <c r="Q839" s="9"/>
      <c r="R839" s="9"/>
      <c r="S839" s="9"/>
      <c r="T839" s="9"/>
      <c r="U839" s="9"/>
      <c r="V839" s="9"/>
      <c r="W839" s="9"/>
      <c r="X839" s="9"/>
      <c r="Y839" s="9"/>
      <c r="Z839" s="9"/>
      <c r="AA839" s="9"/>
      <c r="AB839" s="212"/>
      <c r="AC839" s="9"/>
      <c r="AD839" s="9"/>
      <c r="AE839" s="10"/>
      <c r="AF839" s="10"/>
      <c r="AG839" s="10"/>
      <c r="AH839" s="10"/>
      <c r="AI839" s="10"/>
      <c r="AJ839" s="10"/>
      <c r="AK839" s="10"/>
      <c r="AL839" s="10"/>
      <c r="AM839" s="10"/>
    </row>
    <row r="840" spans="1:39" ht="15.75" customHeight="1" x14ac:dyDescent="0.2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212"/>
      <c r="Q840" s="9"/>
      <c r="R840" s="9"/>
      <c r="S840" s="9"/>
      <c r="T840" s="9"/>
      <c r="U840" s="9"/>
      <c r="V840" s="9"/>
      <c r="W840" s="9"/>
      <c r="X840" s="9"/>
      <c r="Y840" s="9"/>
      <c r="Z840" s="9"/>
      <c r="AA840" s="9"/>
      <c r="AB840" s="212"/>
      <c r="AC840" s="9"/>
      <c r="AD840" s="9"/>
      <c r="AE840" s="10"/>
      <c r="AF840" s="10"/>
      <c r="AG840" s="10"/>
      <c r="AH840" s="10"/>
      <c r="AI840" s="10"/>
      <c r="AJ840" s="10"/>
      <c r="AK840" s="10"/>
      <c r="AL840" s="10"/>
      <c r="AM840" s="10"/>
    </row>
    <row r="841" spans="1:39" ht="15.75" customHeight="1" x14ac:dyDescent="0.2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212"/>
      <c r="Q841" s="9"/>
      <c r="R841" s="9"/>
      <c r="S841" s="9"/>
      <c r="T841" s="9"/>
      <c r="U841" s="9"/>
      <c r="V841" s="9"/>
      <c r="W841" s="9"/>
      <c r="X841" s="9"/>
      <c r="Y841" s="9"/>
      <c r="Z841" s="9"/>
      <c r="AA841" s="9"/>
      <c r="AB841" s="212"/>
      <c r="AC841" s="9"/>
      <c r="AD841" s="9"/>
      <c r="AE841" s="10"/>
      <c r="AF841" s="10"/>
      <c r="AG841" s="10"/>
      <c r="AH841" s="10"/>
      <c r="AI841" s="10"/>
      <c r="AJ841" s="10"/>
      <c r="AK841" s="10"/>
      <c r="AL841" s="10"/>
      <c r="AM841" s="10"/>
    </row>
    <row r="842" spans="1:39" ht="15.75" customHeight="1" x14ac:dyDescent="0.2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212"/>
      <c r="Q842" s="9"/>
      <c r="R842" s="9"/>
      <c r="S842" s="9"/>
      <c r="T842" s="9"/>
      <c r="U842" s="9"/>
      <c r="V842" s="9"/>
      <c r="W842" s="9"/>
      <c r="X842" s="9"/>
      <c r="Y842" s="9"/>
      <c r="Z842" s="9"/>
      <c r="AA842" s="9"/>
      <c r="AB842" s="212"/>
      <c r="AC842" s="9"/>
      <c r="AD842" s="9"/>
      <c r="AE842" s="10"/>
      <c r="AF842" s="10"/>
      <c r="AG842" s="10"/>
      <c r="AH842" s="10"/>
      <c r="AI842" s="10"/>
      <c r="AJ842" s="10"/>
      <c r="AK842" s="10"/>
      <c r="AL842" s="10"/>
      <c r="AM842" s="10"/>
    </row>
    <row r="843" spans="1:39" ht="15.75" customHeight="1" x14ac:dyDescent="0.2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212"/>
      <c r="Q843" s="9"/>
      <c r="R843" s="9"/>
      <c r="S843" s="9"/>
      <c r="T843" s="9"/>
      <c r="U843" s="9"/>
      <c r="V843" s="9"/>
      <c r="W843" s="9"/>
      <c r="X843" s="9"/>
      <c r="Y843" s="9"/>
      <c r="Z843" s="9"/>
      <c r="AA843" s="9"/>
      <c r="AB843" s="212"/>
      <c r="AC843" s="9"/>
      <c r="AD843" s="9"/>
      <c r="AE843" s="10"/>
      <c r="AF843" s="10"/>
      <c r="AG843" s="10"/>
      <c r="AH843" s="10"/>
      <c r="AI843" s="10"/>
      <c r="AJ843" s="10"/>
      <c r="AK843" s="10"/>
      <c r="AL843" s="10"/>
      <c r="AM843" s="10"/>
    </row>
    <row r="844" spans="1:39" ht="15.75" customHeight="1" x14ac:dyDescent="0.2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212"/>
      <c r="Q844" s="9"/>
      <c r="R844" s="9"/>
      <c r="S844" s="9"/>
      <c r="T844" s="9"/>
      <c r="U844" s="9"/>
      <c r="V844" s="9"/>
      <c r="W844" s="9"/>
      <c r="X844" s="9"/>
      <c r="Y844" s="9"/>
      <c r="Z844" s="9"/>
      <c r="AA844" s="9"/>
      <c r="AB844" s="212"/>
      <c r="AC844" s="9"/>
      <c r="AD844" s="9"/>
      <c r="AE844" s="10"/>
      <c r="AF844" s="10"/>
      <c r="AG844" s="10"/>
      <c r="AH844" s="10"/>
      <c r="AI844" s="10"/>
      <c r="AJ844" s="10"/>
      <c r="AK844" s="10"/>
      <c r="AL844" s="10"/>
      <c r="AM844" s="10"/>
    </row>
    <row r="845" spans="1:39" ht="15.75" customHeight="1" x14ac:dyDescent="0.2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212"/>
      <c r="Q845" s="9"/>
      <c r="R845" s="9"/>
      <c r="S845" s="9"/>
      <c r="T845" s="9"/>
      <c r="U845" s="9"/>
      <c r="V845" s="9"/>
      <c r="W845" s="9"/>
      <c r="X845" s="9"/>
      <c r="Y845" s="9"/>
      <c r="Z845" s="9"/>
      <c r="AA845" s="9"/>
      <c r="AB845" s="212"/>
      <c r="AC845" s="9"/>
      <c r="AD845" s="9"/>
      <c r="AE845" s="10"/>
      <c r="AF845" s="10"/>
      <c r="AG845" s="10"/>
      <c r="AH845" s="10"/>
      <c r="AI845" s="10"/>
      <c r="AJ845" s="10"/>
      <c r="AK845" s="10"/>
      <c r="AL845" s="10"/>
      <c r="AM845" s="10"/>
    </row>
    <row r="846" spans="1:39" ht="15.75" customHeight="1" x14ac:dyDescent="0.2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212"/>
      <c r="Q846" s="9"/>
      <c r="R846" s="9"/>
      <c r="S846" s="9"/>
      <c r="T846" s="9"/>
      <c r="U846" s="9"/>
      <c r="V846" s="9"/>
      <c r="W846" s="9"/>
      <c r="X846" s="9"/>
      <c r="Y846" s="9"/>
      <c r="Z846" s="9"/>
      <c r="AA846" s="9"/>
      <c r="AB846" s="212"/>
      <c r="AC846" s="9"/>
      <c r="AD846" s="9"/>
      <c r="AE846" s="10"/>
      <c r="AF846" s="10"/>
      <c r="AG846" s="10"/>
      <c r="AH846" s="10"/>
      <c r="AI846" s="10"/>
      <c r="AJ846" s="10"/>
      <c r="AK846" s="10"/>
      <c r="AL846" s="10"/>
      <c r="AM846" s="10"/>
    </row>
    <row r="847" spans="1:39" ht="15.75" customHeight="1" x14ac:dyDescent="0.2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212"/>
      <c r="Q847" s="9"/>
      <c r="R847" s="9"/>
      <c r="S847" s="9"/>
      <c r="T847" s="9"/>
      <c r="U847" s="9"/>
      <c r="V847" s="9"/>
      <c r="W847" s="9"/>
      <c r="X847" s="9"/>
      <c r="Y847" s="9"/>
      <c r="Z847" s="9"/>
      <c r="AA847" s="9"/>
      <c r="AB847" s="212"/>
      <c r="AC847" s="9"/>
      <c r="AD847" s="9"/>
      <c r="AE847" s="10"/>
      <c r="AF847" s="10"/>
      <c r="AG847" s="10"/>
      <c r="AH847" s="10"/>
      <c r="AI847" s="10"/>
      <c r="AJ847" s="10"/>
      <c r="AK847" s="10"/>
      <c r="AL847" s="10"/>
      <c r="AM847" s="10"/>
    </row>
    <row r="848" spans="1:39" ht="15.75" customHeight="1" x14ac:dyDescent="0.2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212"/>
      <c r="Q848" s="9"/>
      <c r="R848" s="9"/>
      <c r="S848" s="9"/>
      <c r="T848" s="9"/>
      <c r="U848" s="9"/>
      <c r="V848" s="9"/>
      <c r="W848" s="9"/>
      <c r="X848" s="9"/>
      <c r="Y848" s="9"/>
      <c r="Z848" s="9"/>
      <c r="AA848" s="9"/>
      <c r="AB848" s="212"/>
      <c r="AC848" s="9"/>
      <c r="AD848" s="9"/>
      <c r="AE848" s="10"/>
      <c r="AF848" s="10"/>
      <c r="AG848" s="10"/>
      <c r="AH848" s="10"/>
      <c r="AI848" s="10"/>
      <c r="AJ848" s="10"/>
      <c r="AK848" s="10"/>
      <c r="AL848" s="10"/>
      <c r="AM848" s="10"/>
    </row>
    <row r="849" spans="1:39" ht="15.75" customHeight="1" x14ac:dyDescent="0.2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212"/>
      <c r="Q849" s="9"/>
      <c r="R849" s="9"/>
      <c r="S849" s="9"/>
      <c r="T849" s="9"/>
      <c r="U849" s="9"/>
      <c r="V849" s="9"/>
      <c r="W849" s="9"/>
      <c r="X849" s="9"/>
      <c r="Y849" s="9"/>
      <c r="Z849" s="9"/>
      <c r="AA849" s="9"/>
      <c r="AB849" s="212"/>
      <c r="AC849" s="9"/>
      <c r="AD849" s="9"/>
      <c r="AE849" s="10"/>
      <c r="AF849" s="10"/>
      <c r="AG849" s="10"/>
      <c r="AH849" s="10"/>
      <c r="AI849" s="10"/>
      <c r="AJ849" s="10"/>
      <c r="AK849" s="10"/>
      <c r="AL849" s="10"/>
      <c r="AM849" s="10"/>
    </row>
    <row r="850" spans="1:39" ht="15.75" customHeight="1" x14ac:dyDescent="0.2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212"/>
      <c r="Q850" s="9"/>
      <c r="R850" s="9"/>
      <c r="S850" s="9"/>
      <c r="T850" s="9"/>
      <c r="U850" s="9"/>
      <c r="V850" s="9"/>
      <c r="W850" s="9"/>
      <c r="X850" s="9"/>
      <c r="Y850" s="9"/>
      <c r="Z850" s="9"/>
      <c r="AA850" s="9"/>
      <c r="AB850" s="212"/>
      <c r="AC850" s="9"/>
      <c r="AD850" s="9"/>
      <c r="AE850" s="10"/>
      <c r="AF850" s="10"/>
      <c r="AG850" s="10"/>
      <c r="AH850" s="10"/>
      <c r="AI850" s="10"/>
      <c r="AJ850" s="10"/>
      <c r="AK850" s="10"/>
      <c r="AL850" s="10"/>
      <c r="AM850" s="10"/>
    </row>
    <row r="851" spans="1:39" ht="15.75" customHeight="1" x14ac:dyDescent="0.2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212"/>
      <c r="Q851" s="9"/>
      <c r="R851" s="9"/>
      <c r="S851" s="9"/>
      <c r="T851" s="9"/>
      <c r="U851" s="9"/>
      <c r="V851" s="9"/>
      <c r="W851" s="9"/>
      <c r="X851" s="9"/>
      <c r="Y851" s="9"/>
      <c r="Z851" s="9"/>
      <c r="AA851" s="9"/>
      <c r="AB851" s="212"/>
      <c r="AC851" s="9"/>
      <c r="AD851" s="9"/>
      <c r="AE851" s="10"/>
      <c r="AF851" s="10"/>
      <c r="AG851" s="10"/>
      <c r="AH851" s="10"/>
      <c r="AI851" s="10"/>
      <c r="AJ851" s="10"/>
      <c r="AK851" s="10"/>
      <c r="AL851" s="10"/>
      <c r="AM851" s="10"/>
    </row>
    <row r="852" spans="1:39" ht="15.75" customHeight="1" x14ac:dyDescent="0.2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212"/>
      <c r="Q852" s="9"/>
      <c r="R852" s="9"/>
      <c r="S852" s="9"/>
      <c r="T852" s="9"/>
      <c r="U852" s="9"/>
      <c r="V852" s="9"/>
      <c r="W852" s="9"/>
      <c r="X852" s="9"/>
      <c r="Y852" s="9"/>
      <c r="Z852" s="9"/>
      <c r="AA852" s="9"/>
      <c r="AB852" s="212"/>
      <c r="AC852" s="9"/>
      <c r="AD852" s="9"/>
      <c r="AE852" s="10"/>
      <c r="AF852" s="10"/>
      <c r="AG852" s="10"/>
      <c r="AH852" s="10"/>
      <c r="AI852" s="10"/>
      <c r="AJ852" s="10"/>
      <c r="AK852" s="10"/>
      <c r="AL852" s="10"/>
      <c r="AM852" s="10"/>
    </row>
    <row r="853" spans="1:39" ht="15.75" customHeight="1" x14ac:dyDescent="0.2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212"/>
      <c r="Q853" s="9"/>
      <c r="R853" s="9"/>
      <c r="S853" s="9"/>
      <c r="T853" s="9"/>
      <c r="U853" s="9"/>
      <c r="V853" s="9"/>
      <c r="W853" s="9"/>
      <c r="X853" s="9"/>
      <c r="Y853" s="9"/>
      <c r="Z853" s="9"/>
      <c r="AA853" s="9"/>
      <c r="AB853" s="212"/>
      <c r="AC853" s="9"/>
      <c r="AD853" s="9"/>
      <c r="AE853" s="10"/>
      <c r="AF853" s="10"/>
      <c r="AG853" s="10"/>
      <c r="AH853" s="10"/>
      <c r="AI853" s="10"/>
      <c r="AJ853" s="10"/>
      <c r="AK853" s="10"/>
      <c r="AL853" s="10"/>
      <c r="AM853" s="10"/>
    </row>
    <row r="854" spans="1:39" ht="15.75" customHeight="1" x14ac:dyDescent="0.2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212"/>
      <c r="Q854" s="9"/>
      <c r="R854" s="9"/>
      <c r="S854" s="9"/>
      <c r="T854" s="9"/>
      <c r="U854" s="9"/>
      <c r="V854" s="9"/>
      <c r="W854" s="9"/>
      <c r="X854" s="9"/>
      <c r="Y854" s="9"/>
      <c r="Z854" s="9"/>
      <c r="AA854" s="9"/>
      <c r="AB854" s="212"/>
      <c r="AC854" s="9"/>
      <c r="AD854" s="9"/>
      <c r="AE854" s="10"/>
      <c r="AF854" s="10"/>
      <c r="AG854" s="10"/>
      <c r="AH854" s="10"/>
      <c r="AI854" s="10"/>
      <c r="AJ854" s="10"/>
      <c r="AK854" s="10"/>
      <c r="AL854" s="10"/>
      <c r="AM854" s="10"/>
    </row>
    <row r="855" spans="1:39" ht="15.75" customHeight="1" x14ac:dyDescent="0.2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212"/>
      <c r="Q855" s="9"/>
      <c r="R855" s="9"/>
      <c r="S855" s="9"/>
      <c r="T855" s="9"/>
      <c r="U855" s="9"/>
      <c r="V855" s="9"/>
      <c r="W855" s="9"/>
      <c r="X855" s="9"/>
      <c r="Y855" s="9"/>
      <c r="Z855" s="9"/>
      <c r="AA855" s="9"/>
      <c r="AB855" s="212"/>
      <c r="AC855" s="9"/>
      <c r="AD855" s="9"/>
      <c r="AE855" s="10"/>
      <c r="AF855" s="10"/>
      <c r="AG855" s="10"/>
      <c r="AH855" s="10"/>
      <c r="AI855" s="10"/>
      <c r="AJ855" s="10"/>
      <c r="AK855" s="10"/>
      <c r="AL855" s="10"/>
      <c r="AM855" s="10"/>
    </row>
    <row r="856" spans="1:39" ht="15.75" customHeight="1" x14ac:dyDescent="0.2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212"/>
      <c r="Q856" s="9"/>
      <c r="R856" s="9"/>
      <c r="S856" s="9"/>
      <c r="T856" s="9"/>
      <c r="U856" s="9"/>
      <c r="V856" s="9"/>
      <c r="W856" s="9"/>
      <c r="X856" s="9"/>
      <c r="Y856" s="9"/>
      <c r="Z856" s="9"/>
      <c r="AA856" s="9"/>
      <c r="AB856" s="212"/>
      <c r="AC856" s="9"/>
      <c r="AD856" s="9"/>
      <c r="AE856" s="10"/>
      <c r="AF856" s="10"/>
      <c r="AG856" s="10"/>
      <c r="AH856" s="10"/>
      <c r="AI856" s="10"/>
      <c r="AJ856" s="10"/>
      <c r="AK856" s="10"/>
      <c r="AL856" s="10"/>
      <c r="AM856" s="10"/>
    </row>
    <row r="857" spans="1:39" ht="15.75" customHeight="1" x14ac:dyDescent="0.2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212"/>
      <c r="Q857" s="9"/>
      <c r="R857" s="9"/>
      <c r="S857" s="9"/>
      <c r="T857" s="9"/>
      <c r="U857" s="9"/>
      <c r="V857" s="9"/>
      <c r="W857" s="9"/>
      <c r="X857" s="9"/>
      <c r="Y857" s="9"/>
      <c r="Z857" s="9"/>
      <c r="AA857" s="9"/>
      <c r="AB857" s="212"/>
      <c r="AC857" s="9"/>
      <c r="AD857" s="9"/>
      <c r="AE857" s="10"/>
      <c r="AF857" s="10"/>
      <c r="AG857" s="10"/>
      <c r="AH857" s="10"/>
      <c r="AI857" s="10"/>
      <c r="AJ857" s="10"/>
      <c r="AK857" s="10"/>
      <c r="AL857" s="10"/>
      <c r="AM857" s="10"/>
    </row>
    <row r="858" spans="1:39" ht="15.75" customHeight="1" x14ac:dyDescent="0.2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212"/>
      <c r="Q858" s="9"/>
      <c r="R858" s="9"/>
      <c r="S858" s="9"/>
      <c r="T858" s="9"/>
      <c r="U858" s="9"/>
      <c r="V858" s="9"/>
      <c r="W858" s="9"/>
      <c r="X858" s="9"/>
      <c r="Y858" s="9"/>
      <c r="Z858" s="9"/>
      <c r="AA858" s="9"/>
      <c r="AB858" s="212"/>
      <c r="AC858" s="9"/>
      <c r="AD858" s="9"/>
      <c r="AE858" s="10"/>
      <c r="AF858" s="10"/>
      <c r="AG858" s="10"/>
      <c r="AH858" s="10"/>
      <c r="AI858" s="10"/>
      <c r="AJ858" s="10"/>
      <c r="AK858" s="10"/>
      <c r="AL858" s="10"/>
      <c r="AM858" s="10"/>
    </row>
    <row r="859" spans="1:39" ht="15.75" customHeight="1" x14ac:dyDescent="0.2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212"/>
      <c r="Q859" s="9"/>
      <c r="R859" s="9"/>
      <c r="S859" s="9"/>
      <c r="T859" s="9"/>
      <c r="U859" s="9"/>
      <c r="V859" s="9"/>
      <c r="W859" s="9"/>
      <c r="X859" s="9"/>
      <c r="Y859" s="9"/>
      <c r="Z859" s="9"/>
      <c r="AA859" s="9"/>
      <c r="AB859" s="212"/>
      <c r="AC859" s="9"/>
      <c r="AD859" s="9"/>
      <c r="AE859" s="10"/>
      <c r="AF859" s="10"/>
      <c r="AG859" s="10"/>
      <c r="AH859" s="10"/>
      <c r="AI859" s="10"/>
      <c r="AJ859" s="10"/>
      <c r="AK859" s="10"/>
      <c r="AL859" s="10"/>
      <c r="AM859" s="10"/>
    </row>
    <row r="860" spans="1:39" ht="15.75" customHeight="1" x14ac:dyDescent="0.2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212"/>
      <c r="Q860" s="9"/>
      <c r="R860" s="9"/>
      <c r="S860" s="9"/>
      <c r="T860" s="9"/>
      <c r="U860" s="9"/>
      <c r="V860" s="9"/>
      <c r="W860" s="9"/>
      <c r="X860" s="9"/>
      <c r="Y860" s="9"/>
      <c r="Z860" s="9"/>
      <c r="AA860" s="9"/>
      <c r="AB860" s="212"/>
      <c r="AC860" s="9"/>
      <c r="AD860" s="9"/>
      <c r="AE860" s="10"/>
      <c r="AF860" s="10"/>
      <c r="AG860" s="10"/>
      <c r="AH860" s="10"/>
      <c r="AI860" s="10"/>
      <c r="AJ860" s="10"/>
      <c r="AK860" s="10"/>
      <c r="AL860" s="10"/>
      <c r="AM860" s="10"/>
    </row>
    <row r="861" spans="1:39" ht="15.75" customHeight="1" x14ac:dyDescent="0.2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212"/>
      <c r="Q861" s="9"/>
      <c r="R861" s="9"/>
      <c r="S861" s="9"/>
      <c r="T861" s="9"/>
      <c r="U861" s="9"/>
      <c r="V861" s="9"/>
      <c r="W861" s="9"/>
      <c r="X861" s="9"/>
      <c r="Y861" s="9"/>
      <c r="Z861" s="9"/>
      <c r="AA861" s="9"/>
      <c r="AB861" s="212"/>
      <c r="AC861" s="9"/>
      <c r="AD861" s="9"/>
      <c r="AE861" s="10"/>
      <c r="AF861" s="10"/>
      <c r="AG861" s="10"/>
      <c r="AH861" s="10"/>
      <c r="AI861" s="10"/>
      <c r="AJ861" s="10"/>
      <c r="AK861" s="10"/>
      <c r="AL861" s="10"/>
      <c r="AM861" s="10"/>
    </row>
    <row r="862" spans="1:39" ht="15.75" customHeight="1" x14ac:dyDescent="0.2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212"/>
      <c r="Q862" s="9"/>
      <c r="R862" s="9"/>
      <c r="S862" s="9"/>
      <c r="T862" s="9"/>
      <c r="U862" s="9"/>
      <c r="V862" s="9"/>
      <c r="W862" s="9"/>
      <c r="X862" s="9"/>
      <c r="Y862" s="9"/>
      <c r="Z862" s="9"/>
      <c r="AA862" s="9"/>
      <c r="AB862" s="212"/>
      <c r="AC862" s="9"/>
      <c r="AD862" s="9"/>
      <c r="AE862" s="10"/>
      <c r="AF862" s="10"/>
      <c r="AG862" s="10"/>
      <c r="AH862" s="10"/>
      <c r="AI862" s="10"/>
      <c r="AJ862" s="10"/>
      <c r="AK862" s="10"/>
      <c r="AL862" s="10"/>
      <c r="AM862" s="10"/>
    </row>
    <row r="863" spans="1:39" ht="15.75" customHeight="1" x14ac:dyDescent="0.2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212"/>
      <c r="Q863" s="9"/>
      <c r="R863" s="9"/>
      <c r="S863" s="9"/>
      <c r="T863" s="9"/>
      <c r="U863" s="9"/>
      <c r="V863" s="9"/>
      <c r="W863" s="9"/>
      <c r="X863" s="9"/>
      <c r="Y863" s="9"/>
      <c r="Z863" s="9"/>
      <c r="AA863" s="9"/>
      <c r="AB863" s="212"/>
      <c r="AC863" s="9"/>
      <c r="AD863" s="9"/>
      <c r="AE863" s="10"/>
      <c r="AF863" s="10"/>
      <c r="AG863" s="10"/>
      <c r="AH863" s="10"/>
      <c r="AI863" s="10"/>
      <c r="AJ863" s="10"/>
      <c r="AK863" s="10"/>
      <c r="AL863" s="10"/>
      <c r="AM863" s="10"/>
    </row>
    <row r="864" spans="1:39" ht="15.75" customHeight="1" x14ac:dyDescent="0.2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212"/>
      <c r="Q864" s="9"/>
      <c r="R864" s="9"/>
      <c r="S864" s="9"/>
      <c r="T864" s="9"/>
      <c r="U864" s="9"/>
      <c r="V864" s="9"/>
      <c r="W864" s="9"/>
      <c r="X864" s="9"/>
      <c r="Y864" s="9"/>
      <c r="Z864" s="9"/>
      <c r="AA864" s="9"/>
      <c r="AB864" s="212"/>
      <c r="AC864" s="9"/>
      <c r="AD864" s="9"/>
      <c r="AE864" s="10"/>
      <c r="AF864" s="10"/>
      <c r="AG864" s="10"/>
      <c r="AH864" s="10"/>
      <c r="AI864" s="10"/>
      <c r="AJ864" s="10"/>
      <c r="AK864" s="10"/>
      <c r="AL864" s="10"/>
      <c r="AM864" s="10"/>
    </row>
    <row r="865" spans="1:39" ht="15.75" customHeight="1" x14ac:dyDescent="0.2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212"/>
      <c r="Q865" s="9"/>
      <c r="R865" s="9"/>
      <c r="S865" s="9"/>
      <c r="T865" s="9"/>
      <c r="U865" s="9"/>
      <c r="V865" s="9"/>
      <c r="W865" s="9"/>
      <c r="X865" s="9"/>
      <c r="Y865" s="9"/>
      <c r="Z865" s="9"/>
      <c r="AA865" s="9"/>
      <c r="AB865" s="212"/>
      <c r="AC865" s="9"/>
      <c r="AD865" s="9"/>
      <c r="AE865" s="10"/>
      <c r="AF865" s="10"/>
      <c r="AG865" s="10"/>
      <c r="AH865" s="10"/>
      <c r="AI865" s="10"/>
      <c r="AJ865" s="10"/>
      <c r="AK865" s="10"/>
      <c r="AL865" s="10"/>
      <c r="AM865" s="10"/>
    </row>
    <row r="866" spans="1:39" ht="15.75" customHeight="1" x14ac:dyDescent="0.2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212"/>
      <c r="Q866" s="9"/>
      <c r="R866" s="9"/>
      <c r="S866" s="9"/>
      <c r="T866" s="9"/>
      <c r="U866" s="9"/>
      <c r="V866" s="9"/>
      <c r="W866" s="9"/>
      <c r="X866" s="9"/>
      <c r="Y866" s="9"/>
      <c r="Z866" s="9"/>
      <c r="AA866" s="9"/>
      <c r="AB866" s="212"/>
      <c r="AC866" s="9"/>
      <c r="AD866" s="9"/>
      <c r="AE866" s="10"/>
      <c r="AF866" s="10"/>
      <c r="AG866" s="10"/>
      <c r="AH866" s="10"/>
      <c r="AI866" s="10"/>
      <c r="AJ866" s="10"/>
      <c r="AK866" s="10"/>
      <c r="AL866" s="10"/>
      <c r="AM866" s="10"/>
    </row>
    <row r="867" spans="1:39" ht="15.75" customHeight="1" x14ac:dyDescent="0.2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212"/>
      <c r="Q867" s="9"/>
      <c r="R867" s="9"/>
      <c r="S867" s="9"/>
      <c r="T867" s="9"/>
      <c r="U867" s="9"/>
      <c r="V867" s="9"/>
      <c r="W867" s="9"/>
      <c r="X867" s="9"/>
      <c r="Y867" s="9"/>
      <c r="Z867" s="9"/>
      <c r="AA867" s="9"/>
      <c r="AB867" s="212"/>
      <c r="AC867" s="9"/>
      <c r="AD867" s="9"/>
      <c r="AE867" s="10"/>
      <c r="AF867" s="10"/>
      <c r="AG867" s="10"/>
      <c r="AH867" s="10"/>
      <c r="AI867" s="10"/>
      <c r="AJ867" s="10"/>
      <c r="AK867" s="10"/>
      <c r="AL867" s="10"/>
      <c r="AM867" s="10"/>
    </row>
    <row r="868" spans="1:39" ht="15.75" customHeight="1" x14ac:dyDescent="0.2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212"/>
      <c r="Q868" s="9"/>
      <c r="R868" s="9"/>
      <c r="S868" s="9"/>
      <c r="T868" s="9"/>
      <c r="U868" s="9"/>
      <c r="V868" s="9"/>
      <c r="W868" s="9"/>
      <c r="X868" s="9"/>
      <c r="Y868" s="9"/>
      <c r="Z868" s="9"/>
      <c r="AA868" s="9"/>
      <c r="AB868" s="212"/>
      <c r="AC868" s="9"/>
      <c r="AD868" s="9"/>
      <c r="AE868" s="10"/>
      <c r="AF868" s="10"/>
      <c r="AG868" s="10"/>
      <c r="AH868" s="10"/>
      <c r="AI868" s="10"/>
      <c r="AJ868" s="10"/>
      <c r="AK868" s="10"/>
      <c r="AL868" s="10"/>
      <c r="AM868" s="10"/>
    </row>
    <row r="869" spans="1:39" ht="15.75" customHeight="1" x14ac:dyDescent="0.2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212"/>
      <c r="Q869" s="9"/>
      <c r="R869" s="9"/>
      <c r="S869" s="9"/>
      <c r="T869" s="9"/>
      <c r="U869" s="9"/>
      <c r="V869" s="9"/>
      <c r="W869" s="9"/>
      <c r="X869" s="9"/>
      <c r="Y869" s="9"/>
      <c r="Z869" s="9"/>
      <c r="AA869" s="9"/>
      <c r="AB869" s="212"/>
      <c r="AC869" s="9"/>
      <c r="AD869" s="9"/>
      <c r="AE869" s="10"/>
      <c r="AF869" s="10"/>
      <c r="AG869" s="10"/>
      <c r="AH869" s="10"/>
      <c r="AI869" s="10"/>
      <c r="AJ869" s="10"/>
      <c r="AK869" s="10"/>
      <c r="AL869" s="10"/>
      <c r="AM869" s="10"/>
    </row>
    <row r="870" spans="1:39" ht="15.75" customHeight="1" x14ac:dyDescent="0.2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212"/>
      <c r="Q870" s="9"/>
      <c r="R870" s="9"/>
      <c r="S870" s="9"/>
      <c r="T870" s="9"/>
      <c r="U870" s="9"/>
      <c r="V870" s="9"/>
      <c r="W870" s="9"/>
      <c r="X870" s="9"/>
      <c r="Y870" s="9"/>
      <c r="Z870" s="9"/>
      <c r="AA870" s="9"/>
      <c r="AB870" s="212"/>
      <c r="AC870" s="9"/>
      <c r="AD870" s="9"/>
      <c r="AE870" s="10"/>
      <c r="AF870" s="10"/>
      <c r="AG870" s="10"/>
      <c r="AH870" s="10"/>
      <c r="AI870" s="10"/>
      <c r="AJ870" s="10"/>
      <c r="AK870" s="10"/>
      <c r="AL870" s="10"/>
      <c r="AM870" s="10"/>
    </row>
    <row r="871" spans="1:39" ht="15.75" customHeight="1" x14ac:dyDescent="0.2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212"/>
      <c r="Q871" s="9"/>
      <c r="R871" s="9"/>
      <c r="S871" s="9"/>
      <c r="T871" s="9"/>
      <c r="U871" s="9"/>
      <c r="V871" s="9"/>
      <c r="W871" s="9"/>
      <c r="X871" s="9"/>
      <c r="Y871" s="9"/>
      <c r="Z871" s="9"/>
      <c r="AA871" s="9"/>
      <c r="AB871" s="212"/>
      <c r="AC871" s="9"/>
      <c r="AD871" s="9"/>
      <c r="AE871" s="10"/>
      <c r="AF871" s="10"/>
      <c r="AG871" s="10"/>
      <c r="AH871" s="10"/>
      <c r="AI871" s="10"/>
      <c r="AJ871" s="10"/>
      <c r="AK871" s="10"/>
      <c r="AL871" s="10"/>
      <c r="AM871" s="10"/>
    </row>
    <row r="872" spans="1:39" ht="15.75" customHeight="1" x14ac:dyDescent="0.2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212"/>
      <c r="Q872" s="9"/>
      <c r="R872" s="9"/>
      <c r="S872" s="9"/>
      <c r="T872" s="9"/>
      <c r="U872" s="9"/>
      <c r="V872" s="9"/>
      <c r="W872" s="9"/>
      <c r="X872" s="9"/>
      <c r="Y872" s="9"/>
      <c r="Z872" s="9"/>
      <c r="AA872" s="9"/>
      <c r="AB872" s="212"/>
      <c r="AC872" s="9"/>
      <c r="AD872" s="9"/>
      <c r="AE872" s="10"/>
      <c r="AF872" s="10"/>
      <c r="AG872" s="10"/>
      <c r="AH872" s="10"/>
      <c r="AI872" s="10"/>
      <c r="AJ872" s="10"/>
      <c r="AK872" s="10"/>
      <c r="AL872" s="10"/>
      <c r="AM872" s="10"/>
    </row>
    <row r="873" spans="1:39" ht="15.75" customHeight="1" x14ac:dyDescent="0.2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212"/>
      <c r="Q873" s="9"/>
      <c r="R873" s="9"/>
      <c r="S873" s="9"/>
      <c r="T873" s="9"/>
      <c r="U873" s="9"/>
      <c r="V873" s="9"/>
      <c r="W873" s="9"/>
      <c r="X873" s="9"/>
      <c r="Y873" s="9"/>
      <c r="Z873" s="9"/>
      <c r="AA873" s="9"/>
      <c r="AB873" s="212"/>
      <c r="AC873" s="9"/>
      <c r="AD873" s="9"/>
      <c r="AE873" s="10"/>
      <c r="AF873" s="10"/>
      <c r="AG873" s="10"/>
      <c r="AH873" s="10"/>
      <c r="AI873" s="10"/>
      <c r="AJ873" s="10"/>
      <c r="AK873" s="10"/>
      <c r="AL873" s="10"/>
      <c r="AM873" s="10"/>
    </row>
    <row r="874" spans="1:39" ht="15.75" customHeight="1" x14ac:dyDescent="0.2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212"/>
      <c r="Q874" s="9"/>
      <c r="R874" s="9"/>
      <c r="S874" s="9"/>
      <c r="T874" s="9"/>
      <c r="U874" s="9"/>
      <c r="V874" s="9"/>
      <c r="W874" s="9"/>
      <c r="X874" s="9"/>
      <c r="Y874" s="9"/>
      <c r="Z874" s="9"/>
      <c r="AA874" s="9"/>
      <c r="AB874" s="212"/>
      <c r="AC874" s="9"/>
      <c r="AD874" s="9"/>
      <c r="AE874" s="10"/>
      <c r="AF874" s="10"/>
      <c r="AG874" s="10"/>
      <c r="AH874" s="10"/>
      <c r="AI874" s="10"/>
      <c r="AJ874" s="10"/>
      <c r="AK874" s="10"/>
      <c r="AL874" s="10"/>
      <c r="AM874" s="10"/>
    </row>
    <row r="875" spans="1:39" ht="15.75" customHeight="1" x14ac:dyDescent="0.2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212"/>
      <c r="Q875" s="9"/>
      <c r="R875" s="9"/>
      <c r="S875" s="9"/>
      <c r="T875" s="9"/>
      <c r="U875" s="9"/>
      <c r="V875" s="9"/>
      <c r="W875" s="9"/>
      <c r="X875" s="9"/>
      <c r="Y875" s="9"/>
      <c r="Z875" s="9"/>
      <c r="AA875" s="9"/>
      <c r="AB875" s="212"/>
      <c r="AC875" s="9"/>
      <c r="AD875" s="9"/>
      <c r="AE875" s="10"/>
      <c r="AF875" s="10"/>
      <c r="AG875" s="10"/>
      <c r="AH875" s="10"/>
      <c r="AI875" s="10"/>
      <c r="AJ875" s="10"/>
      <c r="AK875" s="10"/>
      <c r="AL875" s="10"/>
      <c r="AM875" s="10"/>
    </row>
    <row r="876" spans="1:39" ht="15.75" customHeight="1" x14ac:dyDescent="0.2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212"/>
      <c r="Q876" s="9"/>
      <c r="R876" s="9"/>
      <c r="S876" s="9"/>
      <c r="T876" s="9"/>
      <c r="U876" s="9"/>
      <c r="V876" s="9"/>
      <c r="W876" s="9"/>
      <c r="X876" s="9"/>
      <c r="Y876" s="9"/>
      <c r="Z876" s="9"/>
      <c r="AA876" s="9"/>
      <c r="AB876" s="212"/>
      <c r="AC876" s="9"/>
      <c r="AD876" s="9"/>
      <c r="AE876" s="10"/>
      <c r="AF876" s="10"/>
      <c r="AG876" s="10"/>
      <c r="AH876" s="10"/>
      <c r="AI876" s="10"/>
      <c r="AJ876" s="10"/>
      <c r="AK876" s="10"/>
      <c r="AL876" s="10"/>
      <c r="AM876" s="10"/>
    </row>
    <row r="877" spans="1:39" ht="15.75" customHeight="1" x14ac:dyDescent="0.2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212"/>
      <c r="Q877" s="9"/>
      <c r="R877" s="9"/>
      <c r="S877" s="9"/>
      <c r="T877" s="9"/>
      <c r="U877" s="9"/>
      <c r="V877" s="9"/>
      <c r="W877" s="9"/>
      <c r="X877" s="9"/>
      <c r="Y877" s="9"/>
      <c r="Z877" s="9"/>
      <c r="AA877" s="9"/>
      <c r="AB877" s="212"/>
      <c r="AC877" s="9"/>
      <c r="AD877" s="9"/>
      <c r="AE877" s="10"/>
      <c r="AF877" s="10"/>
      <c r="AG877" s="10"/>
      <c r="AH877" s="10"/>
      <c r="AI877" s="10"/>
      <c r="AJ877" s="10"/>
      <c r="AK877" s="10"/>
      <c r="AL877" s="10"/>
      <c r="AM877" s="10"/>
    </row>
    <row r="878" spans="1:39" ht="15.75" customHeight="1" x14ac:dyDescent="0.2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212"/>
      <c r="Q878" s="9"/>
      <c r="R878" s="9"/>
      <c r="S878" s="9"/>
      <c r="T878" s="9"/>
      <c r="U878" s="9"/>
      <c r="V878" s="9"/>
      <c r="W878" s="9"/>
      <c r="X878" s="9"/>
      <c r="Y878" s="9"/>
      <c r="Z878" s="9"/>
      <c r="AA878" s="9"/>
      <c r="AB878" s="212"/>
      <c r="AC878" s="9"/>
      <c r="AD878" s="9"/>
      <c r="AE878" s="10"/>
      <c r="AF878" s="10"/>
      <c r="AG878" s="10"/>
      <c r="AH878" s="10"/>
      <c r="AI878" s="10"/>
      <c r="AJ878" s="10"/>
      <c r="AK878" s="10"/>
      <c r="AL878" s="10"/>
      <c r="AM878" s="10"/>
    </row>
    <row r="879" spans="1:39" ht="15.75" customHeight="1" x14ac:dyDescent="0.2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212"/>
      <c r="Q879" s="9"/>
      <c r="R879" s="9"/>
      <c r="S879" s="9"/>
      <c r="T879" s="9"/>
      <c r="U879" s="9"/>
      <c r="V879" s="9"/>
      <c r="W879" s="9"/>
      <c r="X879" s="9"/>
      <c r="Y879" s="9"/>
      <c r="Z879" s="9"/>
      <c r="AA879" s="9"/>
      <c r="AB879" s="212"/>
      <c r="AC879" s="9"/>
      <c r="AD879" s="9"/>
      <c r="AE879" s="10"/>
      <c r="AF879" s="10"/>
      <c r="AG879" s="10"/>
      <c r="AH879" s="10"/>
      <c r="AI879" s="10"/>
      <c r="AJ879" s="10"/>
      <c r="AK879" s="10"/>
      <c r="AL879" s="10"/>
      <c r="AM879" s="10"/>
    </row>
    <row r="880" spans="1:39" ht="15.75" customHeight="1" x14ac:dyDescent="0.2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212"/>
      <c r="Q880" s="9"/>
      <c r="R880" s="9"/>
      <c r="S880" s="9"/>
      <c r="T880" s="9"/>
      <c r="U880" s="9"/>
      <c r="V880" s="9"/>
      <c r="W880" s="9"/>
      <c r="X880" s="9"/>
      <c r="Y880" s="9"/>
      <c r="Z880" s="9"/>
      <c r="AA880" s="9"/>
      <c r="AB880" s="212"/>
      <c r="AC880" s="9"/>
      <c r="AD880" s="9"/>
      <c r="AE880" s="10"/>
      <c r="AF880" s="10"/>
      <c r="AG880" s="10"/>
      <c r="AH880" s="10"/>
      <c r="AI880" s="10"/>
      <c r="AJ880" s="10"/>
      <c r="AK880" s="10"/>
      <c r="AL880" s="10"/>
      <c r="AM880" s="10"/>
    </row>
    <row r="881" spans="1:39" ht="15.75" customHeight="1" x14ac:dyDescent="0.2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212"/>
      <c r="Q881" s="9"/>
      <c r="R881" s="9"/>
      <c r="S881" s="9"/>
      <c r="T881" s="9"/>
      <c r="U881" s="9"/>
      <c r="V881" s="9"/>
      <c r="W881" s="9"/>
      <c r="X881" s="9"/>
      <c r="Y881" s="9"/>
      <c r="Z881" s="9"/>
      <c r="AA881" s="9"/>
      <c r="AB881" s="212"/>
      <c r="AC881" s="9"/>
      <c r="AD881" s="9"/>
      <c r="AE881" s="10"/>
      <c r="AF881" s="10"/>
      <c r="AG881" s="10"/>
      <c r="AH881" s="10"/>
      <c r="AI881" s="10"/>
      <c r="AJ881" s="10"/>
      <c r="AK881" s="10"/>
      <c r="AL881" s="10"/>
      <c r="AM881" s="10"/>
    </row>
    <row r="882" spans="1:39" ht="15.75" customHeight="1" x14ac:dyDescent="0.2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212"/>
      <c r="Q882" s="9"/>
      <c r="R882" s="9"/>
      <c r="S882" s="9"/>
      <c r="T882" s="9"/>
      <c r="U882" s="9"/>
      <c r="V882" s="9"/>
      <c r="W882" s="9"/>
      <c r="X882" s="9"/>
      <c r="Y882" s="9"/>
      <c r="Z882" s="9"/>
      <c r="AA882" s="9"/>
      <c r="AB882" s="212"/>
      <c r="AC882" s="9"/>
      <c r="AD882" s="9"/>
      <c r="AE882" s="10"/>
      <c r="AF882" s="10"/>
      <c r="AG882" s="10"/>
      <c r="AH882" s="10"/>
      <c r="AI882" s="10"/>
      <c r="AJ882" s="10"/>
      <c r="AK882" s="10"/>
      <c r="AL882" s="10"/>
      <c r="AM882" s="10"/>
    </row>
    <row r="883" spans="1:39" ht="15.75" customHeight="1" x14ac:dyDescent="0.2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212"/>
      <c r="Q883" s="9"/>
      <c r="R883" s="9"/>
      <c r="S883" s="9"/>
      <c r="T883" s="9"/>
      <c r="U883" s="9"/>
      <c r="V883" s="9"/>
      <c r="W883" s="9"/>
      <c r="X883" s="9"/>
      <c r="Y883" s="9"/>
      <c r="Z883" s="9"/>
      <c r="AA883" s="9"/>
      <c r="AB883" s="212"/>
      <c r="AC883" s="9"/>
      <c r="AD883" s="9"/>
      <c r="AE883" s="10"/>
      <c r="AF883" s="10"/>
      <c r="AG883" s="10"/>
      <c r="AH883" s="10"/>
      <c r="AI883" s="10"/>
      <c r="AJ883" s="10"/>
      <c r="AK883" s="10"/>
      <c r="AL883" s="10"/>
      <c r="AM883" s="10"/>
    </row>
    <row r="884" spans="1:39" ht="15.75" customHeight="1" x14ac:dyDescent="0.2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212"/>
      <c r="Q884" s="9"/>
      <c r="R884" s="9"/>
      <c r="S884" s="9"/>
      <c r="T884" s="9"/>
      <c r="U884" s="9"/>
      <c r="V884" s="9"/>
      <c r="W884" s="9"/>
      <c r="X884" s="9"/>
      <c r="Y884" s="9"/>
      <c r="Z884" s="9"/>
      <c r="AA884" s="9"/>
      <c r="AB884" s="212"/>
      <c r="AC884" s="9"/>
      <c r="AD884" s="9"/>
      <c r="AE884" s="10"/>
      <c r="AF884" s="10"/>
      <c r="AG884" s="10"/>
      <c r="AH884" s="10"/>
      <c r="AI884" s="10"/>
      <c r="AJ884" s="10"/>
      <c r="AK884" s="10"/>
      <c r="AL884" s="10"/>
      <c r="AM884" s="10"/>
    </row>
    <row r="885" spans="1:39" ht="15.75" customHeight="1" x14ac:dyDescent="0.2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212"/>
      <c r="Q885" s="9"/>
      <c r="R885" s="9"/>
      <c r="S885" s="9"/>
      <c r="T885" s="9"/>
      <c r="U885" s="9"/>
      <c r="V885" s="9"/>
      <c r="W885" s="9"/>
      <c r="X885" s="9"/>
      <c r="Y885" s="9"/>
      <c r="Z885" s="9"/>
      <c r="AA885" s="9"/>
      <c r="AB885" s="212"/>
      <c r="AC885" s="9"/>
      <c r="AD885" s="9"/>
      <c r="AE885" s="10"/>
      <c r="AF885" s="10"/>
      <c r="AG885" s="10"/>
      <c r="AH885" s="10"/>
      <c r="AI885" s="10"/>
      <c r="AJ885" s="10"/>
      <c r="AK885" s="10"/>
      <c r="AL885" s="10"/>
      <c r="AM885" s="10"/>
    </row>
    <row r="886" spans="1:39" ht="15.75" customHeight="1" x14ac:dyDescent="0.2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212"/>
      <c r="Q886" s="9"/>
      <c r="R886" s="9"/>
      <c r="S886" s="9"/>
      <c r="T886" s="9"/>
      <c r="U886" s="9"/>
      <c r="V886" s="9"/>
      <c r="W886" s="9"/>
      <c r="X886" s="9"/>
      <c r="Y886" s="9"/>
      <c r="Z886" s="9"/>
      <c r="AA886" s="9"/>
      <c r="AB886" s="212"/>
      <c r="AC886" s="9"/>
      <c r="AD886" s="9"/>
      <c r="AE886" s="10"/>
      <c r="AF886" s="10"/>
      <c r="AG886" s="10"/>
      <c r="AH886" s="10"/>
      <c r="AI886" s="10"/>
      <c r="AJ886" s="10"/>
      <c r="AK886" s="10"/>
      <c r="AL886" s="10"/>
      <c r="AM886" s="10"/>
    </row>
    <row r="887" spans="1:39" ht="15.75" customHeight="1" x14ac:dyDescent="0.2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212"/>
      <c r="Q887" s="9"/>
      <c r="R887" s="9"/>
      <c r="S887" s="9"/>
      <c r="T887" s="9"/>
      <c r="U887" s="9"/>
      <c r="V887" s="9"/>
      <c r="W887" s="9"/>
      <c r="X887" s="9"/>
      <c r="Y887" s="9"/>
      <c r="Z887" s="9"/>
      <c r="AA887" s="9"/>
      <c r="AB887" s="212"/>
      <c r="AC887" s="9"/>
      <c r="AD887" s="9"/>
      <c r="AE887" s="10"/>
      <c r="AF887" s="10"/>
      <c r="AG887" s="10"/>
      <c r="AH887" s="10"/>
      <c r="AI887" s="10"/>
      <c r="AJ887" s="10"/>
      <c r="AK887" s="10"/>
      <c r="AL887" s="10"/>
      <c r="AM887" s="10"/>
    </row>
    <row r="888" spans="1:39" ht="15.75" customHeight="1" x14ac:dyDescent="0.2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212"/>
      <c r="Q888" s="9"/>
      <c r="R888" s="9"/>
      <c r="S888" s="9"/>
      <c r="T888" s="9"/>
      <c r="U888" s="9"/>
      <c r="V888" s="9"/>
      <c r="W888" s="9"/>
      <c r="X888" s="9"/>
      <c r="Y888" s="9"/>
      <c r="Z888" s="9"/>
      <c r="AA888" s="9"/>
      <c r="AB888" s="212"/>
      <c r="AC888" s="9"/>
      <c r="AD888" s="9"/>
      <c r="AE888" s="10"/>
      <c r="AF888" s="10"/>
      <c r="AG888" s="10"/>
      <c r="AH888" s="10"/>
      <c r="AI888" s="10"/>
      <c r="AJ888" s="10"/>
      <c r="AK888" s="10"/>
      <c r="AL888" s="10"/>
      <c r="AM888" s="10"/>
    </row>
    <row r="889" spans="1:39" ht="15.75" customHeight="1" x14ac:dyDescent="0.2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212"/>
      <c r="Q889" s="9"/>
      <c r="R889" s="9"/>
      <c r="S889" s="9"/>
      <c r="T889" s="9"/>
      <c r="U889" s="9"/>
      <c r="V889" s="9"/>
      <c r="W889" s="9"/>
      <c r="X889" s="9"/>
      <c r="Y889" s="9"/>
      <c r="Z889" s="9"/>
      <c r="AA889" s="9"/>
      <c r="AB889" s="212"/>
      <c r="AC889" s="9"/>
      <c r="AD889" s="9"/>
      <c r="AE889" s="10"/>
      <c r="AF889" s="10"/>
      <c r="AG889" s="10"/>
      <c r="AH889" s="10"/>
      <c r="AI889" s="10"/>
      <c r="AJ889" s="10"/>
      <c r="AK889" s="10"/>
      <c r="AL889" s="10"/>
      <c r="AM889" s="10"/>
    </row>
    <row r="890" spans="1:39" ht="15.75" customHeight="1" x14ac:dyDescent="0.2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212"/>
      <c r="Q890" s="9"/>
      <c r="R890" s="9"/>
      <c r="S890" s="9"/>
      <c r="T890" s="9"/>
      <c r="U890" s="9"/>
      <c r="V890" s="9"/>
      <c r="W890" s="9"/>
      <c r="X890" s="9"/>
      <c r="Y890" s="9"/>
      <c r="Z890" s="9"/>
      <c r="AA890" s="9"/>
      <c r="AB890" s="212"/>
      <c r="AC890" s="9"/>
      <c r="AD890" s="9"/>
      <c r="AE890" s="10"/>
      <c r="AF890" s="10"/>
      <c r="AG890" s="10"/>
      <c r="AH890" s="10"/>
      <c r="AI890" s="10"/>
      <c r="AJ890" s="10"/>
      <c r="AK890" s="10"/>
      <c r="AL890" s="10"/>
      <c r="AM890" s="10"/>
    </row>
    <row r="891" spans="1:39" ht="15.75" customHeight="1" x14ac:dyDescent="0.2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212"/>
      <c r="Q891" s="9"/>
      <c r="R891" s="9"/>
      <c r="S891" s="9"/>
      <c r="T891" s="9"/>
      <c r="U891" s="9"/>
      <c r="V891" s="9"/>
      <c r="W891" s="9"/>
      <c r="X891" s="9"/>
      <c r="Y891" s="9"/>
      <c r="Z891" s="9"/>
      <c r="AA891" s="9"/>
      <c r="AB891" s="212"/>
      <c r="AC891" s="9"/>
      <c r="AD891" s="9"/>
      <c r="AE891" s="10"/>
      <c r="AF891" s="10"/>
      <c r="AG891" s="10"/>
      <c r="AH891" s="10"/>
      <c r="AI891" s="10"/>
      <c r="AJ891" s="10"/>
      <c r="AK891" s="10"/>
      <c r="AL891" s="10"/>
      <c r="AM891" s="10"/>
    </row>
    <row r="892" spans="1:39" ht="15.75" customHeight="1" x14ac:dyDescent="0.2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212"/>
      <c r="Q892" s="9"/>
      <c r="R892" s="9"/>
      <c r="S892" s="9"/>
      <c r="T892" s="9"/>
      <c r="U892" s="9"/>
      <c r="V892" s="9"/>
      <c r="W892" s="9"/>
      <c r="X892" s="9"/>
      <c r="Y892" s="9"/>
      <c r="Z892" s="9"/>
      <c r="AA892" s="9"/>
      <c r="AB892" s="212"/>
      <c r="AC892" s="9"/>
      <c r="AD892" s="9"/>
      <c r="AE892" s="10"/>
      <c r="AF892" s="10"/>
      <c r="AG892" s="10"/>
      <c r="AH892" s="10"/>
      <c r="AI892" s="10"/>
      <c r="AJ892" s="10"/>
      <c r="AK892" s="10"/>
      <c r="AL892" s="10"/>
      <c r="AM892" s="10"/>
    </row>
    <row r="893" spans="1:39" ht="15.75" customHeight="1" x14ac:dyDescent="0.2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212"/>
      <c r="Q893" s="9"/>
      <c r="R893" s="9"/>
      <c r="S893" s="9"/>
      <c r="T893" s="9"/>
      <c r="U893" s="9"/>
      <c r="V893" s="9"/>
      <c r="W893" s="9"/>
      <c r="X893" s="9"/>
      <c r="Y893" s="9"/>
      <c r="Z893" s="9"/>
      <c r="AA893" s="9"/>
      <c r="AB893" s="212"/>
      <c r="AC893" s="9"/>
      <c r="AD893" s="9"/>
      <c r="AE893" s="10"/>
      <c r="AF893" s="10"/>
      <c r="AG893" s="10"/>
      <c r="AH893" s="10"/>
      <c r="AI893" s="10"/>
      <c r="AJ893" s="10"/>
      <c r="AK893" s="10"/>
      <c r="AL893" s="10"/>
      <c r="AM893" s="10"/>
    </row>
    <row r="894" spans="1:39" ht="15.75" customHeight="1" x14ac:dyDescent="0.2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212"/>
      <c r="Q894" s="9"/>
      <c r="R894" s="9"/>
      <c r="S894" s="9"/>
      <c r="T894" s="9"/>
      <c r="U894" s="9"/>
      <c r="V894" s="9"/>
      <c r="W894" s="9"/>
      <c r="X894" s="9"/>
      <c r="Y894" s="9"/>
      <c r="Z894" s="9"/>
      <c r="AA894" s="9"/>
      <c r="AB894" s="212"/>
      <c r="AC894" s="9"/>
      <c r="AD894" s="9"/>
      <c r="AE894" s="10"/>
      <c r="AF894" s="10"/>
      <c r="AG894" s="10"/>
      <c r="AH894" s="10"/>
      <c r="AI894" s="10"/>
      <c r="AJ894" s="10"/>
      <c r="AK894" s="10"/>
      <c r="AL894" s="10"/>
      <c r="AM894" s="10"/>
    </row>
    <row r="895" spans="1:39" ht="15.75" customHeight="1" x14ac:dyDescent="0.2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212"/>
      <c r="Q895" s="9"/>
      <c r="R895" s="9"/>
      <c r="S895" s="9"/>
      <c r="T895" s="9"/>
      <c r="U895" s="9"/>
      <c r="V895" s="9"/>
      <c r="W895" s="9"/>
      <c r="X895" s="9"/>
      <c r="Y895" s="9"/>
      <c r="Z895" s="9"/>
      <c r="AA895" s="9"/>
      <c r="AB895" s="212"/>
      <c r="AC895" s="9"/>
      <c r="AD895" s="9"/>
      <c r="AE895" s="10"/>
      <c r="AF895" s="10"/>
      <c r="AG895" s="10"/>
      <c r="AH895" s="10"/>
      <c r="AI895" s="10"/>
      <c r="AJ895" s="10"/>
      <c r="AK895" s="10"/>
      <c r="AL895" s="10"/>
      <c r="AM895" s="10"/>
    </row>
    <row r="896" spans="1:39" ht="15.75" customHeight="1" x14ac:dyDescent="0.2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212"/>
      <c r="Q896" s="9"/>
      <c r="R896" s="9"/>
      <c r="S896" s="9"/>
      <c r="T896" s="9"/>
      <c r="U896" s="9"/>
      <c r="V896" s="9"/>
      <c r="W896" s="9"/>
      <c r="X896" s="9"/>
      <c r="Y896" s="9"/>
      <c r="Z896" s="9"/>
      <c r="AA896" s="9"/>
      <c r="AB896" s="212"/>
      <c r="AC896" s="9"/>
      <c r="AD896" s="9"/>
      <c r="AE896" s="10"/>
      <c r="AF896" s="10"/>
      <c r="AG896" s="10"/>
      <c r="AH896" s="10"/>
      <c r="AI896" s="10"/>
      <c r="AJ896" s="10"/>
      <c r="AK896" s="10"/>
      <c r="AL896" s="10"/>
      <c r="AM896" s="10"/>
    </row>
    <row r="897" spans="1:39" ht="15.75" customHeight="1" x14ac:dyDescent="0.2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212"/>
      <c r="Q897" s="9"/>
      <c r="R897" s="9"/>
      <c r="S897" s="9"/>
      <c r="T897" s="9"/>
      <c r="U897" s="9"/>
      <c r="V897" s="9"/>
      <c r="W897" s="9"/>
      <c r="X897" s="9"/>
      <c r="Y897" s="9"/>
      <c r="Z897" s="9"/>
      <c r="AA897" s="9"/>
      <c r="AB897" s="212"/>
      <c r="AC897" s="9"/>
      <c r="AD897" s="9"/>
      <c r="AE897" s="10"/>
      <c r="AF897" s="10"/>
      <c r="AG897" s="10"/>
      <c r="AH897" s="10"/>
      <c r="AI897" s="10"/>
      <c r="AJ897" s="10"/>
      <c r="AK897" s="10"/>
      <c r="AL897" s="10"/>
      <c r="AM897" s="10"/>
    </row>
    <row r="898" spans="1:39" ht="15.75" customHeight="1" x14ac:dyDescent="0.2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212"/>
      <c r="Q898" s="9"/>
      <c r="R898" s="9"/>
      <c r="S898" s="9"/>
      <c r="T898" s="9"/>
      <c r="U898" s="9"/>
      <c r="V898" s="9"/>
      <c r="W898" s="9"/>
      <c r="X898" s="9"/>
      <c r="Y898" s="9"/>
      <c r="Z898" s="9"/>
      <c r="AA898" s="9"/>
      <c r="AB898" s="212"/>
      <c r="AC898" s="9"/>
      <c r="AD898" s="9"/>
      <c r="AE898" s="10"/>
      <c r="AF898" s="10"/>
      <c r="AG898" s="10"/>
      <c r="AH898" s="10"/>
      <c r="AI898" s="10"/>
      <c r="AJ898" s="10"/>
      <c r="AK898" s="10"/>
      <c r="AL898" s="10"/>
      <c r="AM898" s="10"/>
    </row>
    <row r="899" spans="1:39" ht="15.75" customHeight="1" x14ac:dyDescent="0.2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212"/>
      <c r="Q899" s="9"/>
      <c r="R899" s="9"/>
      <c r="S899" s="9"/>
      <c r="T899" s="9"/>
      <c r="U899" s="9"/>
      <c r="V899" s="9"/>
      <c r="W899" s="9"/>
      <c r="X899" s="9"/>
      <c r="Y899" s="9"/>
      <c r="Z899" s="9"/>
      <c r="AA899" s="9"/>
      <c r="AB899" s="212"/>
      <c r="AC899" s="9"/>
      <c r="AD899" s="9"/>
      <c r="AE899" s="10"/>
      <c r="AF899" s="10"/>
      <c r="AG899" s="10"/>
      <c r="AH899" s="10"/>
      <c r="AI899" s="10"/>
      <c r="AJ899" s="10"/>
      <c r="AK899" s="10"/>
      <c r="AL899" s="10"/>
      <c r="AM899" s="10"/>
    </row>
    <row r="900" spans="1:39" ht="15.75" customHeight="1" x14ac:dyDescent="0.2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212"/>
      <c r="Q900" s="9"/>
      <c r="R900" s="9"/>
      <c r="S900" s="9"/>
      <c r="T900" s="9"/>
      <c r="U900" s="9"/>
      <c r="V900" s="9"/>
      <c r="W900" s="9"/>
      <c r="X900" s="9"/>
      <c r="Y900" s="9"/>
      <c r="Z900" s="9"/>
      <c r="AA900" s="9"/>
      <c r="AB900" s="212"/>
      <c r="AC900" s="9"/>
      <c r="AD900" s="9"/>
      <c r="AE900" s="10"/>
      <c r="AF900" s="10"/>
      <c r="AG900" s="10"/>
      <c r="AH900" s="10"/>
      <c r="AI900" s="10"/>
      <c r="AJ900" s="10"/>
      <c r="AK900" s="10"/>
      <c r="AL900" s="10"/>
      <c r="AM900" s="10"/>
    </row>
    <row r="901" spans="1:39" ht="15.75" customHeight="1" x14ac:dyDescent="0.2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212"/>
      <c r="Q901" s="9"/>
      <c r="R901" s="9"/>
      <c r="S901" s="9"/>
      <c r="T901" s="9"/>
      <c r="U901" s="9"/>
      <c r="V901" s="9"/>
      <c r="W901" s="9"/>
      <c r="X901" s="9"/>
      <c r="Y901" s="9"/>
      <c r="Z901" s="9"/>
      <c r="AA901" s="9"/>
      <c r="AB901" s="212"/>
      <c r="AC901" s="9"/>
      <c r="AD901" s="9"/>
      <c r="AE901" s="10"/>
      <c r="AF901" s="10"/>
      <c r="AG901" s="10"/>
      <c r="AH901" s="10"/>
      <c r="AI901" s="10"/>
      <c r="AJ901" s="10"/>
      <c r="AK901" s="10"/>
      <c r="AL901" s="10"/>
      <c r="AM901" s="10"/>
    </row>
    <row r="902" spans="1:39" ht="15.75" customHeight="1" x14ac:dyDescent="0.2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212"/>
      <c r="Q902" s="9"/>
      <c r="R902" s="9"/>
      <c r="S902" s="9"/>
      <c r="T902" s="9"/>
      <c r="U902" s="9"/>
      <c r="V902" s="9"/>
      <c r="W902" s="9"/>
      <c r="X902" s="9"/>
      <c r="Y902" s="9"/>
      <c r="Z902" s="9"/>
      <c r="AA902" s="9"/>
      <c r="AB902" s="212"/>
      <c r="AC902" s="9"/>
      <c r="AD902" s="9"/>
      <c r="AE902" s="10"/>
      <c r="AF902" s="10"/>
      <c r="AG902" s="10"/>
      <c r="AH902" s="10"/>
      <c r="AI902" s="10"/>
      <c r="AJ902" s="10"/>
      <c r="AK902" s="10"/>
      <c r="AL902" s="10"/>
      <c r="AM902" s="10"/>
    </row>
    <row r="903" spans="1:39" ht="15.75" customHeight="1" x14ac:dyDescent="0.2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212"/>
      <c r="Q903" s="9"/>
      <c r="R903" s="9"/>
      <c r="S903" s="9"/>
      <c r="T903" s="9"/>
      <c r="U903" s="9"/>
      <c r="V903" s="9"/>
      <c r="W903" s="9"/>
      <c r="X903" s="9"/>
      <c r="Y903" s="9"/>
      <c r="Z903" s="9"/>
      <c r="AA903" s="9"/>
      <c r="AB903" s="212"/>
      <c r="AC903" s="9"/>
      <c r="AD903" s="9"/>
      <c r="AE903" s="10"/>
      <c r="AF903" s="10"/>
      <c r="AG903" s="10"/>
      <c r="AH903" s="10"/>
      <c r="AI903" s="10"/>
      <c r="AJ903" s="10"/>
      <c r="AK903" s="10"/>
      <c r="AL903" s="10"/>
      <c r="AM903" s="10"/>
    </row>
    <row r="904" spans="1:39" ht="15.75" customHeight="1" x14ac:dyDescent="0.2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212"/>
      <c r="Q904" s="9"/>
      <c r="R904" s="9"/>
      <c r="S904" s="9"/>
      <c r="T904" s="9"/>
      <c r="U904" s="9"/>
      <c r="V904" s="9"/>
      <c r="W904" s="9"/>
      <c r="X904" s="9"/>
      <c r="Y904" s="9"/>
      <c r="Z904" s="9"/>
      <c r="AA904" s="9"/>
      <c r="AB904" s="212"/>
      <c r="AC904" s="9"/>
      <c r="AD904" s="9"/>
      <c r="AE904" s="10"/>
      <c r="AF904" s="10"/>
      <c r="AG904" s="10"/>
      <c r="AH904" s="10"/>
      <c r="AI904" s="10"/>
      <c r="AJ904" s="10"/>
      <c r="AK904" s="10"/>
      <c r="AL904" s="10"/>
      <c r="AM904" s="10"/>
    </row>
    <row r="905" spans="1:39" ht="15.75" customHeight="1" x14ac:dyDescent="0.2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212"/>
      <c r="Q905" s="9"/>
      <c r="R905" s="9"/>
      <c r="S905" s="9"/>
      <c r="T905" s="9"/>
      <c r="U905" s="9"/>
      <c r="V905" s="9"/>
      <c r="W905" s="9"/>
      <c r="X905" s="9"/>
      <c r="Y905" s="9"/>
      <c r="Z905" s="9"/>
      <c r="AA905" s="9"/>
      <c r="AB905" s="212"/>
      <c r="AC905" s="9"/>
      <c r="AD905" s="9"/>
      <c r="AE905" s="10"/>
      <c r="AF905" s="10"/>
      <c r="AG905" s="10"/>
      <c r="AH905" s="10"/>
      <c r="AI905" s="10"/>
      <c r="AJ905" s="10"/>
      <c r="AK905" s="10"/>
      <c r="AL905" s="10"/>
      <c r="AM905" s="10"/>
    </row>
    <row r="906" spans="1:39" ht="15.75" customHeight="1" x14ac:dyDescent="0.2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212"/>
      <c r="Q906" s="9"/>
      <c r="R906" s="9"/>
      <c r="S906" s="9"/>
      <c r="T906" s="9"/>
      <c r="U906" s="9"/>
      <c r="V906" s="9"/>
      <c r="W906" s="9"/>
      <c r="X906" s="9"/>
      <c r="Y906" s="9"/>
      <c r="Z906" s="9"/>
      <c r="AA906" s="9"/>
      <c r="AB906" s="212"/>
      <c r="AC906" s="9"/>
      <c r="AD906" s="9"/>
      <c r="AE906" s="10"/>
      <c r="AF906" s="10"/>
      <c r="AG906" s="10"/>
      <c r="AH906" s="10"/>
      <c r="AI906" s="10"/>
      <c r="AJ906" s="10"/>
      <c r="AK906" s="10"/>
      <c r="AL906" s="10"/>
      <c r="AM906" s="10"/>
    </row>
    <row r="907" spans="1:39" ht="15.75" customHeight="1" x14ac:dyDescent="0.2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212"/>
      <c r="Q907" s="9"/>
      <c r="R907" s="9"/>
      <c r="S907" s="9"/>
      <c r="T907" s="9"/>
      <c r="U907" s="9"/>
      <c r="V907" s="9"/>
      <c r="W907" s="9"/>
      <c r="X907" s="9"/>
      <c r="Y907" s="9"/>
      <c r="Z907" s="9"/>
      <c r="AA907" s="9"/>
      <c r="AB907" s="212"/>
      <c r="AC907" s="9"/>
      <c r="AD907" s="9"/>
      <c r="AE907" s="10"/>
      <c r="AF907" s="10"/>
      <c r="AG907" s="10"/>
      <c r="AH907" s="10"/>
      <c r="AI907" s="10"/>
      <c r="AJ907" s="10"/>
      <c r="AK907" s="10"/>
      <c r="AL907" s="10"/>
      <c r="AM907" s="10"/>
    </row>
    <row r="908" spans="1:39" ht="15.75" customHeight="1" x14ac:dyDescent="0.2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212"/>
      <c r="Q908" s="9"/>
      <c r="R908" s="9"/>
      <c r="S908" s="9"/>
      <c r="T908" s="9"/>
      <c r="U908" s="9"/>
      <c r="V908" s="9"/>
      <c r="W908" s="9"/>
      <c r="X908" s="9"/>
      <c r="Y908" s="9"/>
      <c r="Z908" s="9"/>
      <c r="AA908" s="9"/>
      <c r="AB908" s="212"/>
      <c r="AC908" s="9"/>
      <c r="AD908" s="9"/>
      <c r="AE908" s="10"/>
      <c r="AF908" s="10"/>
      <c r="AG908" s="10"/>
      <c r="AH908" s="10"/>
      <c r="AI908" s="10"/>
      <c r="AJ908" s="10"/>
      <c r="AK908" s="10"/>
      <c r="AL908" s="10"/>
      <c r="AM908" s="10"/>
    </row>
    <row r="909" spans="1:39" ht="15.75" customHeight="1" x14ac:dyDescent="0.2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212"/>
      <c r="Q909" s="9"/>
      <c r="R909" s="9"/>
      <c r="S909" s="9"/>
      <c r="T909" s="9"/>
      <c r="U909" s="9"/>
      <c r="V909" s="9"/>
      <c r="W909" s="9"/>
      <c r="X909" s="9"/>
      <c r="Y909" s="9"/>
      <c r="Z909" s="9"/>
      <c r="AA909" s="9"/>
      <c r="AB909" s="212"/>
      <c r="AC909" s="9"/>
      <c r="AD909" s="9"/>
      <c r="AE909" s="10"/>
      <c r="AF909" s="10"/>
      <c r="AG909" s="10"/>
      <c r="AH909" s="10"/>
      <c r="AI909" s="10"/>
      <c r="AJ909" s="10"/>
      <c r="AK909" s="10"/>
      <c r="AL909" s="10"/>
      <c r="AM909" s="10"/>
    </row>
    <row r="910" spans="1:39" ht="15.75" customHeight="1" x14ac:dyDescent="0.2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212"/>
      <c r="Q910" s="9"/>
      <c r="R910" s="9"/>
      <c r="S910" s="9"/>
      <c r="T910" s="9"/>
      <c r="U910" s="9"/>
      <c r="V910" s="9"/>
      <c r="W910" s="9"/>
      <c r="X910" s="9"/>
      <c r="Y910" s="9"/>
      <c r="Z910" s="9"/>
      <c r="AA910" s="9"/>
      <c r="AB910" s="212"/>
      <c r="AC910" s="9"/>
      <c r="AD910" s="9"/>
      <c r="AE910" s="10"/>
      <c r="AF910" s="10"/>
      <c r="AG910" s="10"/>
      <c r="AH910" s="10"/>
      <c r="AI910" s="10"/>
      <c r="AJ910" s="10"/>
      <c r="AK910" s="10"/>
      <c r="AL910" s="10"/>
      <c r="AM910" s="10"/>
    </row>
    <row r="911" spans="1:39" ht="15.75" customHeight="1" x14ac:dyDescent="0.2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212"/>
      <c r="Q911" s="9"/>
      <c r="R911" s="9"/>
      <c r="S911" s="9"/>
      <c r="T911" s="9"/>
      <c r="U911" s="9"/>
      <c r="V911" s="9"/>
      <c r="W911" s="9"/>
      <c r="X911" s="9"/>
      <c r="Y911" s="9"/>
      <c r="Z911" s="9"/>
      <c r="AA911" s="9"/>
      <c r="AB911" s="212"/>
      <c r="AC911" s="9"/>
      <c r="AD911" s="9"/>
      <c r="AE911" s="10"/>
      <c r="AF911" s="10"/>
      <c r="AG911" s="10"/>
      <c r="AH911" s="10"/>
      <c r="AI911" s="10"/>
      <c r="AJ911" s="10"/>
      <c r="AK911" s="10"/>
      <c r="AL911" s="10"/>
      <c r="AM911" s="10"/>
    </row>
    <row r="912" spans="1:39" ht="15.75" customHeight="1" x14ac:dyDescent="0.2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212"/>
      <c r="Q912" s="9"/>
      <c r="R912" s="9"/>
      <c r="S912" s="9"/>
      <c r="T912" s="9"/>
      <c r="U912" s="9"/>
      <c r="V912" s="9"/>
      <c r="W912" s="9"/>
      <c r="X912" s="9"/>
      <c r="Y912" s="9"/>
      <c r="Z912" s="9"/>
      <c r="AA912" s="9"/>
      <c r="AB912" s="212"/>
      <c r="AC912" s="9"/>
      <c r="AD912" s="9"/>
      <c r="AE912" s="10"/>
      <c r="AF912" s="10"/>
      <c r="AG912" s="10"/>
      <c r="AH912" s="10"/>
      <c r="AI912" s="10"/>
      <c r="AJ912" s="10"/>
      <c r="AK912" s="10"/>
      <c r="AL912" s="10"/>
      <c r="AM912" s="10"/>
    </row>
    <row r="913" spans="1:39" ht="15.75" customHeight="1" x14ac:dyDescent="0.2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212"/>
      <c r="Q913" s="9"/>
      <c r="R913" s="9"/>
      <c r="S913" s="9"/>
      <c r="T913" s="9"/>
      <c r="U913" s="9"/>
      <c r="V913" s="9"/>
      <c r="W913" s="9"/>
      <c r="X913" s="9"/>
      <c r="Y913" s="9"/>
      <c r="Z913" s="9"/>
      <c r="AA913" s="9"/>
      <c r="AB913" s="212"/>
      <c r="AC913" s="9"/>
      <c r="AD913" s="9"/>
      <c r="AE913" s="10"/>
      <c r="AF913" s="10"/>
      <c r="AG913" s="10"/>
      <c r="AH913" s="10"/>
      <c r="AI913" s="10"/>
      <c r="AJ913" s="10"/>
      <c r="AK913" s="10"/>
      <c r="AL913" s="10"/>
      <c r="AM913" s="10"/>
    </row>
    <row r="914" spans="1:39" ht="15.75" customHeight="1" x14ac:dyDescent="0.2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212"/>
      <c r="Q914" s="9"/>
      <c r="R914" s="9"/>
      <c r="S914" s="9"/>
      <c r="T914" s="9"/>
      <c r="U914" s="9"/>
      <c r="V914" s="9"/>
      <c r="W914" s="9"/>
      <c r="X914" s="9"/>
      <c r="Y914" s="9"/>
      <c r="Z914" s="9"/>
      <c r="AA914" s="9"/>
      <c r="AB914" s="212"/>
      <c r="AC914" s="9"/>
      <c r="AD914" s="9"/>
      <c r="AE914" s="10"/>
      <c r="AF914" s="10"/>
      <c r="AG914" s="10"/>
      <c r="AH914" s="10"/>
      <c r="AI914" s="10"/>
      <c r="AJ914" s="10"/>
      <c r="AK914" s="10"/>
      <c r="AL914" s="10"/>
      <c r="AM914" s="10"/>
    </row>
    <row r="915" spans="1:39" ht="15.75" customHeight="1" x14ac:dyDescent="0.2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212"/>
      <c r="Q915" s="9"/>
      <c r="R915" s="9"/>
      <c r="S915" s="9"/>
      <c r="T915" s="9"/>
      <c r="U915" s="9"/>
      <c r="V915" s="9"/>
      <c r="W915" s="9"/>
      <c r="X915" s="9"/>
      <c r="Y915" s="9"/>
      <c r="Z915" s="9"/>
      <c r="AA915" s="9"/>
      <c r="AB915" s="212"/>
      <c r="AC915" s="9"/>
      <c r="AD915" s="9"/>
      <c r="AE915" s="10"/>
      <c r="AF915" s="10"/>
      <c r="AG915" s="10"/>
      <c r="AH915" s="10"/>
      <c r="AI915" s="10"/>
      <c r="AJ915" s="10"/>
      <c r="AK915" s="10"/>
      <c r="AL915" s="10"/>
      <c r="AM915" s="10"/>
    </row>
    <row r="916" spans="1:39" ht="15.75" customHeight="1" x14ac:dyDescent="0.2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212"/>
      <c r="Q916" s="9"/>
      <c r="R916" s="9"/>
      <c r="S916" s="9"/>
      <c r="T916" s="9"/>
      <c r="U916" s="9"/>
      <c r="V916" s="9"/>
      <c r="W916" s="9"/>
      <c r="X916" s="9"/>
      <c r="Y916" s="9"/>
      <c r="Z916" s="9"/>
      <c r="AA916" s="9"/>
      <c r="AB916" s="212"/>
      <c r="AC916" s="9"/>
      <c r="AD916" s="9"/>
      <c r="AE916" s="10"/>
      <c r="AF916" s="10"/>
      <c r="AG916" s="10"/>
      <c r="AH916" s="10"/>
      <c r="AI916" s="10"/>
      <c r="AJ916" s="10"/>
      <c r="AK916" s="10"/>
      <c r="AL916" s="10"/>
      <c r="AM916" s="10"/>
    </row>
    <row r="917" spans="1:39" ht="15.75" customHeight="1" x14ac:dyDescent="0.2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212"/>
      <c r="Q917" s="9"/>
      <c r="R917" s="9"/>
      <c r="S917" s="9"/>
      <c r="T917" s="9"/>
      <c r="U917" s="9"/>
      <c r="V917" s="9"/>
      <c r="W917" s="9"/>
      <c r="X917" s="9"/>
      <c r="Y917" s="9"/>
      <c r="Z917" s="9"/>
      <c r="AA917" s="9"/>
      <c r="AB917" s="212"/>
      <c r="AC917" s="9"/>
      <c r="AD917" s="9"/>
      <c r="AE917" s="10"/>
      <c r="AF917" s="10"/>
      <c r="AG917" s="10"/>
      <c r="AH917" s="10"/>
      <c r="AI917" s="10"/>
      <c r="AJ917" s="10"/>
      <c r="AK917" s="10"/>
      <c r="AL917" s="10"/>
      <c r="AM917" s="10"/>
    </row>
    <row r="918" spans="1:39" ht="15.75" customHeight="1" x14ac:dyDescent="0.2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212"/>
      <c r="Q918" s="9"/>
      <c r="R918" s="9"/>
      <c r="S918" s="9"/>
      <c r="T918" s="9"/>
      <c r="U918" s="9"/>
      <c r="V918" s="9"/>
      <c r="W918" s="9"/>
      <c r="X918" s="9"/>
      <c r="Y918" s="9"/>
      <c r="Z918" s="9"/>
      <c r="AA918" s="9"/>
      <c r="AB918" s="212"/>
      <c r="AC918" s="9"/>
      <c r="AD918" s="9"/>
      <c r="AE918" s="10"/>
      <c r="AF918" s="10"/>
      <c r="AG918" s="10"/>
      <c r="AH918" s="10"/>
      <c r="AI918" s="10"/>
      <c r="AJ918" s="10"/>
      <c r="AK918" s="10"/>
      <c r="AL918" s="10"/>
      <c r="AM918" s="10"/>
    </row>
    <row r="919" spans="1:39" ht="15.75" customHeight="1" x14ac:dyDescent="0.2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212"/>
      <c r="Q919" s="9"/>
      <c r="R919" s="9"/>
      <c r="S919" s="9"/>
      <c r="T919" s="9"/>
      <c r="U919" s="9"/>
      <c r="V919" s="9"/>
      <c r="W919" s="9"/>
      <c r="X919" s="9"/>
      <c r="Y919" s="9"/>
      <c r="Z919" s="9"/>
      <c r="AA919" s="9"/>
      <c r="AB919" s="212"/>
      <c r="AC919" s="9"/>
      <c r="AD919" s="9"/>
      <c r="AE919" s="10"/>
      <c r="AF919" s="10"/>
      <c r="AG919" s="10"/>
      <c r="AH919" s="10"/>
      <c r="AI919" s="10"/>
      <c r="AJ919" s="10"/>
      <c r="AK919" s="10"/>
      <c r="AL919" s="10"/>
      <c r="AM919" s="10"/>
    </row>
    <row r="920" spans="1:39" ht="15.75" customHeight="1" x14ac:dyDescent="0.2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212"/>
      <c r="Q920" s="9"/>
      <c r="R920" s="9"/>
      <c r="S920" s="9"/>
      <c r="T920" s="9"/>
      <c r="U920" s="9"/>
      <c r="V920" s="9"/>
      <c r="W920" s="9"/>
      <c r="X920" s="9"/>
      <c r="Y920" s="9"/>
      <c r="Z920" s="9"/>
      <c r="AA920" s="9"/>
      <c r="AB920" s="212"/>
      <c r="AC920" s="9"/>
      <c r="AD920" s="9"/>
      <c r="AE920" s="10"/>
      <c r="AF920" s="10"/>
      <c r="AG920" s="10"/>
      <c r="AH920" s="10"/>
      <c r="AI920" s="10"/>
      <c r="AJ920" s="10"/>
      <c r="AK920" s="10"/>
      <c r="AL920" s="10"/>
      <c r="AM920" s="10"/>
    </row>
    <row r="921" spans="1:39" ht="15.75" customHeight="1" x14ac:dyDescent="0.2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212"/>
      <c r="Q921" s="9"/>
      <c r="R921" s="9"/>
      <c r="S921" s="9"/>
      <c r="T921" s="9"/>
      <c r="U921" s="9"/>
      <c r="V921" s="9"/>
      <c r="W921" s="9"/>
      <c r="X921" s="9"/>
      <c r="Y921" s="9"/>
      <c r="Z921" s="9"/>
      <c r="AA921" s="9"/>
      <c r="AB921" s="212"/>
      <c r="AC921" s="9"/>
      <c r="AD921" s="9"/>
      <c r="AE921" s="10"/>
      <c r="AF921" s="10"/>
      <c r="AG921" s="10"/>
      <c r="AH921" s="10"/>
      <c r="AI921" s="10"/>
      <c r="AJ921" s="10"/>
      <c r="AK921" s="10"/>
      <c r="AL921" s="10"/>
      <c r="AM921" s="10"/>
    </row>
    <row r="922" spans="1:39" ht="15.75" customHeight="1" x14ac:dyDescent="0.2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212"/>
      <c r="Q922" s="9"/>
      <c r="R922" s="9"/>
      <c r="S922" s="9"/>
      <c r="T922" s="9"/>
      <c r="U922" s="9"/>
      <c r="V922" s="9"/>
      <c r="W922" s="9"/>
      <c r="X922" s="9"/>
      <c r="Y922" s="9"/>
      <c r="Z922" s="9"/>
      <c r="AA922" s="9"/>
      <c r="AB922" s="212"/>
      <c r="AC922" s="9"/>
      <c r="AD922" s="9"/>
      <c r="AE922" s="10"/>
      <c r="AF922" s="10"/>
      <c r="AG922" s="10"/>
      <c r="AH922" s="10"/>
      <c r="AI922" s="10"/>
      <c r="AJ922" s="10"/>
      <c r="AK922" s="10"/>
      <c r="AL922" s="10"/>
      <c r="AM922" s="10"/>
    </row>
    <row r="923" spans="1:39" ht="15.75" customHeight="1" x14ac:dyDescent="0.2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212"/>
      <c r="Q923" s="9"/>
      <c r="R923" s="9"/>
      <c r="S923" s="9"/>
      <c r="T923" s="9"/>
      <c r="U923" s="9"/>
      <c r="V923" s="9"/>
      <c r="W923" s="9"/>
      <c r="X923" s="9"/>
      <c r="Y923" s="9"/>
      <c r="Z923" s="9"/>
      <c r="AA923" s="9"/>
      <c r="AB923" s="212"/>
      <c r="AC923" s="9"/>
      <c r="AD923" s="9"/>
      <c r="AE923" s="10"/>
      <c r="AF923" s="10"/>
      <c r="AG923" s="10"/>
      <c r="AH923" s="10"/>
      <c r="AI923" s="10"/>
      <c r="AJ923" s="10"/>
      <c r="AK923" s="10"/>
      <c r="AL923" s="10"/>
      <c r="AM923" s="10"/>
    </row>
    <row r="924" spans="1:39" ht="15.75" customHeight="1" x14ac:dyDescent="0.2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212"/>
      <c r="Q924" s="9"/>
      <c r="R924" s="9"/>
      <c r="S924" s="9"/>
      <c r="T924" s="9"/>
      <c r="U924" s="9"/>
      <c r="V924" s="9"/>
      <c r="W924" s="9"/>
      <c r="X924" s="9"/>
      <c r="Y924" s="9"/>
      <c r="Z924" s="9"/>
      <c r="AA924" s="9"/>
      <c r="AB924" s="212"/>
      <c r="AC924" s="9"/>
      <c r="AD924" s="9"/>
      <c r="AE924" s="10"/>
      <c r="AF924" s="10"/>
      <c r="AG924" s="10"/>
      <c r="AH924" s="10"/>
      <c r="AI924" s="10"/>
      <c r="AJ924" s="10"/>
      <c r="AK924" s="10"/>
      <c r="AL924" s="10"/>
      <c r="AM924" s="10"/>
    </row>
    <row r="925" spans="1:39" ht="15.75" customHeight="1" x14ac:dyDescent="0.2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212"/>
      <c r="Q925" s="9"/>
      <c r="R925" s="9"/>
      <c r="S925" s="9"/>
      <c r="T925" s="9"/>
      <c r="U925" s="9"/>
      <c r="V925" s="9"/>
      <c r="W925" s="9"/>
      <c r="X925" s="9"/>
      <c r="Y925" s="9"/>
      <c r="Z925" s="9"/>
      <c r="AA925" s="9"/>
      <c r="AB925" s="212"/>
      <c r="AC925" s="9"/>
      <c r="AD925" s="9"/>
      <c r="AE925" s="10"/>
      <c r="AF925" s="10"/>
      <c r="AG925" s="10"/>
      <c r="AH925" s="10"/>
      <c r="AI925" s="10"/>
      <c r="AJ925" s="10"/>
      <c r="AK925" s="10"/>
      <c r="AL925" s="10"/>
      <c r="AM925" s="10"/>
    </row>
    <row r="926" spans="1:39" ht="15.75" customHeight="1" x14ac:dyDescent="0.2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212"/>
      <c r="Q926" s="9"/>
      <c r="R926" s="9"/>
      <c r="S926" s="9"/>
      <c r="T926" s="9"/>
      <c r="U926" s="9"/>
      <c r="V926" s="9"/>
      <c r="W926" s="9"/>
      <c r="X926" s="9"/>
      <c r="Y926" s="9"/>
      <c r="Z926" s="9"/>
      <c r="AA926" s="9"/>
      <c r="AB926" s="212"/>
      <c r="AC926" s="9"/>
      <c r="AD926" s="9"/>
      <c r="AE926" s="10"/>
      <c r="AF926" s="10"/>
      <c r="AG926" s="10"/>
      <c r="AH926" s="10"/>
      <c r="AI926" s="10"/>
      <c r="AJ926" s="10"/>
      <c r="AK926" s="10"/>
      <c r="AL926" s="10"/>
      <c r="AM926" s="10"/>
    </row>
    <row r="927" spans="1:39" ht="15.75" customHeight="1" x14ac:dyDescent="0.2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212"/>
      <c r="Q927" s="9"/>
      <c r="R927" s="9"/>
      <c r="S927" s="9"/>
      <c r="T927" s="9"/>
      <c r="U927" s="9"/>
      <c r="V927" s="9"/>
      <c r="W927" s="9"/>
      <c r="X927" s="9"/>
      <c r="Y927" s="9"/>
      <c r="Z927" s="9"/>
      <c r="AA927" s="9"/>
      <c r="AB927" s="212"/>
      <c r="AC927" s="9"/>
      <c r="AD927" s="9"/>
      <c r="AE927" s="10"/>
      <c r="AF927" s="10"/>
      <c r="AG927" s="10"/>
      <c r="AH927" s="10"/>
      <c r="AI927" s="10"/>
      <c r="AJ927" s="10"/>
      <c r="AK927" s="10"/>
      <c r="AL927" s="10"/>
      <c r="AM927" s="10"/>
    </row>
    <row r="928" spans="1:39" ht="15.75" customHeight="1" x14ac:dyDescent="0.2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212"/>
      <c r="Q928" s="9"/>
      <c r="R928" s="9"/>
      <c r="S928" s="9"/>
      <c r="T928" s="9"/>
      <c r="U928" s="9"/>
      <c r="V928" s="9"/>
      <c r="W928" s="9"/>
      <c r="X928" s="9"/>
      <c r="Y928" s="9"/>
      <c r="Z928" s="9"/>
      <c r="AA928" s="9"/>
      <c r="AB928" s="212"/>
      <c r="AC928" s="9"/>
      <c r="AD928" s="9"/>
      <c r="AE928" s="10"/>
      <c r="AF928" s="10"/>
      <c r="AG928" s="10"/>
      <c r="AH928" s="10"/>
      <c r="AI928" s="10"/>
      <c r="AJ928" s="10"/>
      <c r="AK928" s="10"/>
      <c r="AL928" s="10"/>
      <c r="AM928" s="10"/>
    </row>
    <row r="929" spans="1:39" ht="15.75" customHeight="1" x14ac:dyDescent="0.2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212"/>
      <c r="Q929" s="9"/>
      <c r="R929" s="9"/>
      <c r="S929" s="9"/>
      <c r="T929" s="9"/>
      <c r="U929" s="9"/>
      <c r="V929" s="9"/>
      <c r="W929" s="9"/>
      <c r="X929" s="9"/>
      <c r="Y929" s="9"/>
      <c r="Z929" s="9"/>
      <c r="AA929" s="9"/>
      <c r="AB929" s="212"/>
      <c r="AC929" s="9"/>
      <c r="AD929" s="9"/>
      <c r="AE929" s="10"/>
      <c r="AF929" s="10"/>
      <c r="AG929" s="10"/>
      <c r="AH929" s="10"/>
      <c r="AI929" s="10"/>
      <c r="AJ929" s="10"/>
      <c r="AK929" s="10"/>
      <c r="AL929" s="10"/>
      <c r="AM929" s="10"/>
    </row>
    <row r="930" spans="1:39" ht="15.75" customHeight="1" x14ac:dyDescent="0.2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212"/>
      <c r="Q930" s="9"/>
      <c r="R930" s="9"/>
      <c r="S930" s="9"/>
      <c r="T930" s="9"/>
      <c r="U930" s="9"/>
      <c r="V930" s="9"/>
      <c r="W930" s="9"/>
      <c r="X930" s="9"/>
      <c r="Y930" s="9"/>
      <c r="Z930" s="9"/>
      <c r="AA930" s="9"/>
      <c r="AB930" s="212"/>
      <c r="AC930" s="9"/>
      <c r="AD930" s="9"/>
      <c r="AE930" s="10"/>
      <c r="AF930" s="10"/>
      <c r="AG930" s="10"/>
      <c r="AH930" s="10"/>
      <c r="AI930" s="10"/>
      <c r="AJ930" s="10"/>
      <c r="AK930" s="10"/>
      <c r="AL930" s="10"/>
      <c r="AM930" s="10"/>
    </row>
    <row r="931" spans="1:39" ht="15.75" customHeight="1" x14ac:dyDescent="0.2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212"/>
      <c r="Q931" s="9"/>
      <c r="R931" s="9"/>
      <c r="S931" s="9"/>
      <c r="T931" s="9"/>
      <c r="U931" s="9"/>
      <c r="V931" s="9"/>
      <c r="W931" s="9"/>
      <c r="X931" s="9"/>
      <c r="Y931" s="9"/>
      <c r="Z931" s="9"/>
      <c r="AA931" s="9"/>
      <c r="AB931" s="212"/>
      <c r="AC931" s="9"/>
      <c r="AD931" s="9"/>
      <c r="AE931" s="10"/>
      <c r="AF931" s="10"/>
      <c r="AG931" s="10"/>
      <c r="AH931" s="10"/>
      <c r="AI931" s="10"/>
      <c r="AJ931" s="10"/>
      <c r="AK931" s="10"/>
      <c r="AL931" s="10"/>
      <c r="AM931" s="10"/>
    </row>
    <row r="932" spans="1:39" ht="15.75" customHeight="1" x14ac:dyDescent="0.2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212"/>
      <c r="Q932" s="9"/>
      <c r="R932" s="9"/>
      <c r="S932" s="9"/>
      <c r="T932" s="9"/>
      <c r="U932" s="9"/>
      <c r="V932" s="9"/>
      <c r="W932" s="9"/>
      <c r="X932" s="9"/>
      <c r="Y932" s="9"/>
      <c r="Z932" s="9"/>
      <c r="AA932" s="9"/>
      <c r="AB932" s="212"/>
      <c r="AC932" s="9"/>
      <c r="AD932" s="9"/>
      <c r="AE932" s="10"/>
      <c r="AF932" s="10"/>
      <c r="AG932" s="10"/>
      <c r="AH932" s="10"/>
      <c r="AI932" s="10"/>
      <c r="AJ932" s="10"/>
      <c r="AK932" s="10"/>
      <c r="AL932" s="10"/>
      <c r="AM932" s="10"/>
    </row>
    <row r="933" spans="1:39" ht="15.75" customHeight="1" x14ac:dyDescent="0.2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212"/>
      <c r="Q933" s="9"/>
      <c r="R933" s="9"/>
      <c r="S933" s="9"/>
      <c r="T933" s="9"/>
      <c r="U933" s="9"/>
      <c r="V933" s="9"/>
      <c r="W933" s="9"/>
      <c r="X933" s="9"/>
      <c r="Y933" s="9"/>
      <c r="Z933" s="9"/>
      <c r="AA933" s="9"/>
      <c r="AB933" s="212"/>
      <c r="AC933" s="9"/>
      <c r="AD933" s="9"/>
      <c r="AE933" s="10"/>
      <c r="AF933" s="10"/>
      <c r="AG933" s="10"/>
      <c r="AH933" s="10"/>
      <c r="AI933" s="10"/>
      <c r="AJ933" s="10"/>
      <c r="AK933" s="10"/>
      <c r="AL933" s="10"/>
      <c r="AM933" s="10"/>
    </row>
    <row r="934" spans="1:39" ht="15.75" customHeight="1" x14ac:dyDescent="0.2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212"/>
      <c r="Q934" s="9"/>
      <c r="R934" s="9"/>
      <c r="S934" s="9"/>
      <c r="T934" s="9"/>
      <c r="U934" s="9"/>
      <c r="V934" s="9"/>
      <c r="W934" s="9"/>
      <c r="X934" s="9"/>
      <c r="Y934" s="9"/>
      <c r="Z934" s="9"/>
      <c r="AA934" s="9"/>
      <c r="AB934" s="212"/>
      <c r="AC934" s="9"/>
      <c r="AD934" s="9"/>
      <c r="AE934" s="10"/>
      <c r="AF934" s="10"/>
      <c r="AG934" s="10"/>
      <c r="AH934" s="10"/>
      <c r="AI934" s="10"/>
      <c r="AJ934" s="10"/>
      <c r="AK934" s="10"/>
      <c r="AL934" s="10"/>
      <c r="AM934" s="10"/>
    </row>
    <row r="935" spans="1:39" ht="15.75" customHeight="1" x14ac:dyDescent="0.2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212"/>
      <c r="Q935" s="9"/>
      <c r="R935" s="9"/>
      <c r="S935" s="9"/>
      <c r="T935" s="9"/>
      <c r="U935" s="9"/>
      <c r="V935" s="9"/>
      <c r="W935" s="9"/>
      <c r="X935" s="9"/>
      <c r="Y935" s="9"/>
      <c r="Z935" s="9"/>
      <c r="AA935" s="9"/>
      <c r="AB935" s="212"/>
      <c r="AC935" s="9"/>
      <c r="AD935" s="9"/>
      <c r="AE935" s="10"/>
      <c r="AF935" s="10"/>
      <c r="AG935" s="10"/>
      <c r="AH935" s="10"/>
      <c r="AI935" s="10"/>
      <c r="AJ935" s="10"/>
      <c r="AK935" s="10"/>
      <c r="AL935" s="10"/>
      <c r="AM935" s="10"/>
    </row>
    <row r="936" spans="1:39" ht="15.75" customHeight="1" x14ac:dyDescent="0.2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212"/>
      <c r="Q936" s="9"/>
      <c r="R936" s="9"/>
      <c r="S936" s="9"/>
      <c r="T936" s="9"/>
      <c r="U936" s="9"/>
      <c r="V936" s="9"/>
      <c r="W936" s="9"/>
      <c r="X936" s="9"/>
      <c r="Y936" s="9"/>
      <c r="Z936" s="9"/>
      <c r="AA936" s="9"/>
      <c r="AB936" s="212"/>
      <c r="AC936" s="9"/>
      <c r="AD936" s="9"/>
      <c r="AE936" s="10"/>
      <c r="AF936" s="10"/>
      <c r="AG936" s="10"/>
      <c r="AH936" s="10"/>
      <c r="AI936" s="10"/>
      <c r="AJ936" s="10"/>
      <c r="AK936" s="10"/>
      <c r="AL936" s="10"/>
      <c r="AM936" s="10"/>
    </row>
    <row r="937" spans="1:39" ht="15.75" customHeight="1" x14ac:dyDescent="0.2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212"/>
      <c r="Q937" s="9"/>
      <c r="R937" s="9"/>
      <c r="S937" s="9"/>
      <c r="T937" s="9"/>
      <c r="U937" s="9"/>
      <c r="V937" s="9"/>
      <c r="W937" s="9"/>
      <c r="X937" s="9"/>
      <c r="Y937" s="9"/>
      <c r="Z937" s="9"/>
      <c r="AA937" s="9"/>
      <c r="AB937" s="212"/>
      <c r="AC937" s="9"/>
      <c r="AD937" s="9"/>
      <c r="AE937" s="10"/>
      <c r="AF937" s="10"/>
      <c r="AG937" s="10"/>
      <c r="AH937" s="10"/>
      <c r="AI937" s="10"/>
      <c r="AJ937" s="10"/>
      <c r="AK937" s="10"/>
      <c r="AL937" s="10"/>
      <c r="AM937" s="10"/>
    </row>
    <row r="938" spans="1:39" ht="15.75" customHeight="1" x14ac:dyDescent="0.2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212"/>
      <c r="Q938" s="9"/>
      <c r="R938" s="9"/>
      <c r="S938" s="9"/>
      <c r="T938" s="9"/>
      <c r="U938" s="9"/>
      <c r="V938" s="9"/>
      <c r="W938" s="9"/>
      <c r="X938" s="9"/>
      <c r="Y938" s="9"/>
      <c r="Z938" s="9"/>
      <c r="AA938" s="9"/>
      <c r="AB938" s="212"/>
      <c r="AC938" s="9"/>
      <c r="AD938" s="9"/>
      <c r="AE938" s="10"/>
      <c r="AF938" s="10"/>
      <c r="AG938" s="10"/>
      <c r="AH938" s="10"/>
      <c r="AI938" s="10"/>
      <c r="AJ938" s="10"/>
      <c r="AK938" s="10"/>
      <c r="AL938" s="10"/>
      <c r="AM938" s="10"/>
    </row>
    <row r="939" spans="1:39" ht="15.75" customHeight="1" x14ac:dyDescent="0.2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212"/>
      <c r="Q939" s="9"/>
      <c r="R939" s="9"/>
      <c r="S939" s="9"/>
      <c r="T939" s="9"/>
      <c r="U939" s="9"/>
      <c r="V939" s="9"/>
      <c r="W939" s="9"/>
      <c r="X939" s="9"/>
      <c r="Y939" s="9"/>
      <c r="Z939" s="9"/>
      <c r="AA939" s="9"/>
      <c r="AB939" s="212"/>
      <c r="AC939" s="9"/>
      <c r="AD939" s="9"/>
      <c r="AE939" s="10"/>
      <c r="AF939" s="10"/>
      <c r="AG939" s="10"/>
      <c r="AH939" s="10"/>
      <c r="AI939" s="10"/>
      <c r="AJ939" s="10"/>
      <c r="AK939" s="10"/>
      <c r="AL939" s="10"/>
      <c r="AM939" s="10"/>
    </row>
    <row r="940" spans="1:39" ht="15.75" customHeight="1" x14ac:dyDescent="0.2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212"/>
      <c r="Q940" s="9"/>
      <c r="R940" s="9"/>
      <c r="S940" s="9"/>
      <c r="T940" s="9"/>
      <c r="U940" s="9"/>
      <c r="V940" s="9"/>
      <c r="W940" s="9"/>
      <c r="X940" s="9"/>
      <c r="Y940" s="9"/>
      <c r="Z940" s="9"/>
      <c r="AA940" s="9"/>
      <c r="AB940" s="212"/>
      <c r="AC940" s="9"/>
      <c r="AD940" s="9"/>
      <c r="AE940" s="10"/>
      <c r="AF940" s="10"/>
      <c r="AG940" s="10"/>
      <c r="AH940" s="10"/>
      <c r="AI940" s="10"/>
      <c r="AJ940" s="10"/>
      <c r="AK940" s="10"/>
      <c r="AL940" s="10"/>
      <c r="AM940" s="10"/>
    </row>
    <row r="941" spans="1:39" ht="15.75" customHeight="1" x14ac:dyDescent="0.2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212"/>
      <c r="Q941" s="9"/>
      <c r="R941" s="9"/>
      <c r="S941" s="9"/>
      <c r="T941" s="9"/>
      <c r="U941" s="9"/>
      <c r="V941" s="9"/>
      <c r="W941" s="9"/>
      <c r="X941" s="9"/>
      <c r="Y941" s="9"/>
      <c r="Z941" s="9"/>
      <c r="AA941" s="9"/>
      <c r="AB941" s="212"/>
      <c r="AC941" s="9"/>
      <c r="AD941" s="9"/>
      <c r="AE941" s="10"/>
      <c r="AF941" s="10"/>
      <c r="AG941" s="10"/>
      <c r="AH941" s="10"/>
      <c r="AI941" s="10"/>
      <c r="AJ941" s="10"/>
      <c r="AK941" s="10"/>
      <c r="AL941" s="10"/>
      <c r="AM941" s="10"/>
    </row>
    <row r="942" spans="1:39" ht="15.75" customHeight="1" x14ac:dyDescent="0.2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212"/>
      <c r="Q942" s="9"/>
      <c r="R942" s="9"/>
      <c r="S942" s="9"/>
      <c r="T942" s="9"/>
      <c r="U942" s="9"/>
      <c r="V942" s="9"/>
      <c r="W942" s="9"/>
      <c r="X942" s="9"/>
      <c r="Y942" s="9"/>
      <c r="Z942" s="9"/>
      <c r="AA942" s="9"/>
      <c r="AB942" s="212"/>
      <c r="AC942" s="9"/>
      <c r="AD942" s="9"/>
      <c r="AE942" s="10"/>
      <c r="AF942" s="10"/>
      <c r="AG942" s="10"/>
      <c r="AH942" s="10"/>
      <c r="AI942" s="10"/>
      <c r="AJ942" s="10"/>
      <c r="AK942" s="10"/>
      <c r="AL942" s="10"/>
      <c r="AM942" s="10"/>
    </row>
    <row r="943" spans="1:39" ht="15.75" customHeight="1" x14ac:dyDescent="0.2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212"/>
      <c r="Q943" s="9"/>
      <c r="R943" s="9"/>
      <c r="S943" s="9"/>
      <c r="T943" s="9"/>
      <c r="U943" s="9"/>
      <c r="V943" s="9"/>
      <c r="W943" s="9"/>
      <c r="X943" s="9"/>
      <c r="Y943" s="9"/>
      <c r="Z943" s="9"/>
      <c r="AA943" s="9"/>
      <c r="AB943" s="212"/>
      <c r="AC943" s="9"/>
      <c r="AD943" s="9"/>
      <c r="AE943" s="10"/>
      <c r="AF943" s="10"/>
      <c r="AG943" s="10"/>
      <c r="AH943" s="10"/>
      <c r="AI943" s="10"/>
      <c r="AJ943" s="10"/>
      <c r="AK943" s="10"/>
      <c r="AL943" s="10"/>
      <c r="AM943" s="10"/>
    </row>
    <row r="944" spans="1:39" ht="15.75" customHeight="1" x14ac:dyDescent="0.2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212"/>
      <c r="Q944" s="9"/>
      <c r="R944" s="9"/>
      <c r="S944" s="9"/>
      <c r="T944" s="9"/>
      <c r="U944" s="9"/>
      <c r="V944" s="9"/>
      <c r="W944" s="9"/>
      <c r="X944" s="9"/>
      <c r="Y944" s="9"/>
      <c r="Z944" s="9"/>
      <c r="AA944" s="9"/>
      <c r="AB944" s="212"/>
      <c r="AC944" s="9"/>
      <c r="AD944" s="9"/>
      <c r="AE944" s="10"/>
      <c r="AF944" s="10"/>
      <c r="AG944" s="10"/>
      <c r="AH944" s="10"/>
      <c r="AI944" s="10"/>
      <c r="AJ944" s="10"/>
      <c r="AK944" s="10"/>
      <c r="AL944" s="10"/>
      <c r="AM944" s="10"/>
    </row>
    <row r="945" spans="1:39" ht="15.75" customHeight="1" x14ac:dyDescent="0.2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212"/>
      <c r="Q945" s="9"/>
      <c r="R945" s="9"/>
      <c r="S945" s="9"/>
      <c r="T945" s="9"/>
      <c r="U945" s="9"/>
      <c r="V945" s="9"/>
      <c r="W945" s="9"/>
      <c r="X945" s="9"/>
      <c r="Y945" s="9"/>
      <c r="Z945" s="9"/>
      <c r="AA945" s="9"/>
      <c r="AB945" s="212"/>
      <c r="AC945" s="9"/>
      <c r="AD945" s="9"/>
      <c r="AE945" s="10"/>
      <c r="AF945" s="10"/>
      <c r="AG945" s="10"/>
      <c r="AH945" s="10"/>
      <c r="AI945" s="10"/>
      <c r="AJ945" s="10"/>
      <c r="AK945" s="10"/>
      <c r="AL945" s="10"/>
      <c r="AM945" s="10"/>
    </row>
    <row r="946" spans="1:39" ht="15.75" customHeight="1" x14ac:dyDescent="0.2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212"/>
      <c r="Q946" s="9"/>
      <c r="R946" s="9"/>
      <c r="S946" s="9"/>
      <c r="T946" s="9"/>
      <c r="U946" s="9"/>
      <c r="V946" s="9"/>
      <c r="W946" s="9"/>
      <c r="X946" s="9"/>
      <c r="Y946" s="9"/>
      <c r="Z946" s="9"/>
      <c r="AA946" s="9"/>
      <c r="AB946" s="212"/>
      <c r="AC946" s="9"/>
      <c r="AD946" s="9"/>
      <c r="AE946" s="10"/>
      <c r="AF946" s="10"/>
      <c r="AG946" s="10"/>
      <c r="AH946" s="10"/>
      <c r="AI946" s="10"/>
      <c r="AJ946" s="10"/>
      <c r="AK946" s="10"/>
      <c r="AL946" s="10"/>
      <c r="AM946" s="10"/>
    </row>
    <row r="947" spans="1:39" ht="15.75" customHeight="1" x14ac:dyDescent="0.2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212"/>
      <c r="Q947" s="9"/>
      <c r="R947" s="9"/>
      <c r="S947" s="9"/>
      <c r="T947" s="9"/>
      <c r="U947" s="9"/>
      <c r="V947" s="9"/>
      <c r="W947" s="9"/>
      <c r="X947" s="9"/>
      <c r="Y947" s="9"/>
      <c r="Z947" s="9"/>
      <c r="AA947" s="9"/>
      <c r="AB947" s="212"/>
      <c r="AC947" s="9"/>
      <c r="AD947" s="9"/>
      <c r="AE947" s="10"/>
      <c r="AF947" s="10"/>
      <c r="AG947" s="10"/>
      <c r="AH947" s="10"/>
      <c r="AI947" s="10"/>
      <c r="AJ947" s="10"/>
      <c r="AK947" s="10"/>
      <c r="AL947" s="10"/>
      <c r="AM947" s="10"/>
    </row>
    <row r="948" spans="1:39" ht="15.75" customHeight="1" x14ac:dyDescent="0.2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212"/>
      <c r="Q948" s="9"/>
      <c r="R948" s="9"/>
      <c r="S948" s="9"/>
      <c r="T948" s="9"/>
      <c r="U948" s="9"/>
      <c r="V948" s="9"/>
      <c r="W948" s="9"/>
      <c r="X948" s="9"/>
      <c r="Y948" s="9"/>
      <c r="Z948" s="9"/>
      <c r="AA948" s="9"/>
      <c r="AB948" s="212"/>
      <c r="AC948" s="9"/>
      <c r="AD948" s="9"/>
      <c r="AE948" s="10"/>
      <c r="AF948" s="10"/>
      <c r="AG948" s="10"/>
      <c r="AH948" s="10"/>
      <c r="AI948" s="10"/>
      <c r="AJ948" s="10"/>
      <c r="AK948" s="10"/>
      <c r="AL948" s="10"/>
      <c r="AM948" s="10"/>
    </row>
    <row r="949" spans="1:39" ht="15.75" customHeight="1" x14ac:dyDescent="0.2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212"/>
      <c r="Q949" s="9"/>
      <c r="R949" s="9"/>
      <c r="S949" s="9"/>
      <c r="T949" s="9"/>
      <c r="U949" s="9"/>
      <c r="V949" s="9"/>
      <c r="W949" s="9"/>
      <c r="X949" s="9"/>
      <c r="Y949" s="9"/>
      <c r="Z949" s="9"/>
      <c r="AA949" s="9"/>
      <c r="AB949" s="212"/>
      <c r="AC949" s="9"/>
      <c r="AD949" s="9"/>
      <c r="AE949" s="10"/>
      <c r="AF949" s="10"/>
      <c r="AG949" s="10"/>
      <c r="AH949" s="10"/>
      <c r="AI949" s="10"/>
      <c r="AJ949" s="10"/>
      <c r="AK949" s="10"/>
      <c r="AL949" s="10"/>
      <c r="AM949" s="10"/>
    </row>
    <row r="950" spans="1:39" ht="15.75" customHeight="1" x14ac:dyDescent="0.2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212"/>
      <c r="Q950" s="9"/>
      <c r="R950" s="9"/>
      <c r="S950" s="9"/>
      <c r="T950" s="9"/>
      <c r="U950" s="9"/>
      <c r="V950" s="9"/>
      <c r="W950" s="9"/>
      <c r="X950" s="9"/>
      <c r="Y950" s="9"/>
      <c r="Z950" s="9"/>
      <c r="AA950" s="9"/>
      <c r="AB950" s="212"/>
      <c r="AC950" s="9"/>
      <c r="AD950" s="9"/>
      <c r="AE950" s="10"/>
      <c r="AF950" s="10"/>
      <c r="AG950" s="10"/>
      <c r="AH950" s="10"/>
      <c r="AI950" s="10"/>
      <c r="AJ950" s="10"/>
      <c r="AK950" s="10"/>
      <c r="AL950" s="10"/>
      <c r="AM950" s="10"/>
    </row>
    <row r="951" spans="1:39" ht="15.75" customHeight="1" x14ac:dyDescent="0.2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212"/>
      <c r="Q951" s="9"/>
      <c r="R951" s="9"/>
      <c r="S951" s="9"/>
      <c r="T951" s="9"/>
      <c r="U951" s="9"/>
      <c r="V951" s="9"/>
      <c r="W951" s="9"/>
      <c r="X951" s="9"/>
      <c r="Y951" s="9"/>
      <c r="Z951" s="9"/>
      <c r="AA951" s="9"/>
      <c r="AB951" s="212"/>
      <c r="AC951" s="9"/>
      <c r="AD951" s="9"/>
      <c r="AE951" s="10"/>
      <c r="AF951" s="10"/>
      <c r="AG951" s="10"/>
      <c r="AH951" s="10"/>
      <c r="AI951" s="10"/>
      <c r="AJ951" s="10"/>
      <c r="AK951" s="10"/>
      <c r="AL951" s="10"/>
      <c r="AM951" s="10"/>
    </row>
    <row r="952" spans="1:39" ht="15.75" customHeight="1" x14ac:dyDescent="0.2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212"/>
      <c r="Q952" s="9"/>
      <c r="R952" s="9"/>
      <c r="S952" s="9"/>
      <c r="T952" s="9"/>
      <c r="U952" s="9"/>
      <c r="V952" s="9"/>
      <c r="W952" s="9"/>
      <c r="X952" s="9"/>
      <c r="Y952" s="9"/>
      <c r="Z952" s="9"/>
      <c r="AA952" s="9"/>
      <c r="AB952" s="212"/>
      <c r="AC952" s="9"/>
      <c r="AD952" s="9"/>
      <c r="AE952" s="10"/>
      <c r="AF952" s="10"/>
      <c r="AG952" s="10"/>
      <c r="AH952" s="10"/>
      <c r="AI952" s="10"/>
      <c r="AJ952" s="10"/>
      <c r="AK952" s="10"/>
      <c r="AL952" s="10"/>
      <c r="AM952" s="10"/>
    </row>
    <row r="953" spans="1:39" ht="15.75" customHeight="1" x14ac:dyDescent="0.2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212"/>
      <c r="Q953" s="9"/>
      <c r="R953" s="9"/>
      <c r="S953" s="9"/>
      <c r="T953" s="9"/>
      <c r="U953" s="9"/>
      <c r="V953" s="9"/>
      <c r="W953" s="9"/>
      <c r="X953" s="9"/>
      <c r="Y953" s="9"/>
      <c r="Z953" s="9"/>
      <c r="AA953" s="9"/>
      <c r="AB953" s="212"/>
      <c r="AC953" s="9"/>
      <c r="AD953" s="9"/>
      <c r="AE953" s="10"/>
      <c r="AF953" s="10"/>
      <c r="AG953" s="10"/>
      <c r="AH953" s="10"/>
      <c r="AI953" s="10"/>
      <c r="AJ953" s="10"/>
      <c r="AK953" s="10"/>
      <c r="AL953" s="10"/>
      <c r="AM953" s="10"/>
    </row>
    <row r="954" spans="1:39" ht="15.75" customHeight="1" x14ac:dyDescent="0.2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212"/>
      <c r="Q954" s="9"/>
      <c r="R954" s="9"/>
      <c r="S954" s="9"/>
      <c r="T954" s="9"/>
      <c r="U954" s="9"/>
      <c r="V954" s="9"/>
      <c r="W954" s="9"/>
      <c r="X954" s="9"/>
      <c r="Y954" s="9"/>
      <c r="Z954" s="9"/>
      <c r="AA954" s="9"/>
      <c r="AB954" s="212"/>
      <c r="AC954" s="9"/>
      <c r="AD954" s="9"/>
      <c r="AE954" s="10"/>
      <c r="AF954" s="10"/>
      <c r="AG954" s="10"/>
      <c r="AH954" s="10"/>
      <c r="AI954" s="10"/>
      <c r="AJ954" s="10"/>
      <c r="AK954" s="10"/>
      <c r="AL954" s="10"/>
      <c r="AM954" s="10"/>
    </row>
    <row r="955" spans="1:39" ht="15.75" customHeight="1" x14ac:dyDescent="0.2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212"/>
      <c r="Q955" s="9"/>
      <c r="R955" s="9"/>
      <c r="S955" s="9"/>
      <c r="T955" s="9"/>
      <c r="U955" s="9"/>
      <c r="V955" s="9"/>
      <c r="W955" s="9"/>
      <c r="X955" s="9"/>
      <c r="Y955" s="9"/>
      <c r="Z955" s="9"/>
      <c r="AA955" s="9"/>
      <c r="AB955" s="212"/>
      <c r="AC955" s="9"/>
      <c r="AD955" s="9"/>
      <c r="AE955" s="10"/>
      <c r="AF955" s="10"/>
      <c r="AG955" s="10"/>
      <c r="AH955" s="10"/>
      <c r="AI955" s="10"/>
      <c r="AJ955" s="10"/>
      <c r="AK955" s="10"/>
      <c r="AL955" s="10"/>
      <c r="AM955" s="10"/>
    </row>
    <row r="956" spans="1:39" ht="15.75" customHeight="1" x14ac:dyDescent="0.2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212"/>
      <c r="Q956" s="9"/>
      <c r="R956" s="9"/>
      <c r="S956" s="9"/>
      <c r="T956" s="9"/>
      <c r="U956" s="9"/>
      <c r="V956" s="9"/>
      <c r="W956" s="9"/>
      <c r="X956" s="9"/>
      <c r="Y956" s="9"/>
      <c r="Z956" s="9"/>
      <c r="AA956" s="9"/>
      <c r="AB956" s="212"/>
      <c r="AC956" s="9"/>
      <c r="AD956" s="9"/>
      <c r="AE956" s="10"/>
      <c r="AF956" s="10"/>
      <c r="AG956" s="10"/>
      <c r="AH956" s="10"/>
      <c r="AI956" s="10"/>
      <c r="AJ956" s="10"/>
      <c r="AK956" s="10"/>
      <c r="AL956" s="10"/>
      <c r="AM956" s="10"/>
    </row>
    <row r="957" spans="1:39" ht="15.75" customHeight="1" x14ac:dyDescent="0.2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212"/>
      <c r="Q957" s="9"/>
      <c r="R957" s="9"/>
      <c r="S957" s="9"/>
      <c r="T957" s="9"/>
      <c r="U957" s="9"/>
      <c r="V957" s="9"/>
      <c r="W957" s="9"/>
      <c r="X957" s="9"/>
      <c r="Y957" s="9"/>
      <c r="Z957" s="9"/>
      <c r="AA957" s="9"/>
      <c r="AB957" s="212"/>
      <c r="AC957" s="9"/>
      <c r="AD957" s="9"/>
      <c r="AE957" s="10"/>
      <c r="AF957" s="10"/>
      <c r="AG957" s="10"/>
      <c r="AH957" s="10"/>
      <c r="AI957" s="10"/>
      <c r="AJ957" s="10"/>
      <c r="AK957" s="10"/>
      <c r="AL957" s="10"/>
      <c r="AM957" s="10"/>
    </row>
    <row r="958" spans="1:39" ht="15.75" customHeight="1" x14ac:dyDescent="0.2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212"/>
      <c r="Q958" s="9"/>
      <c r="R958" s="9"/>
      <c r="S958" s="9"/>
      <c r="T958" s="9"/>
      <c r="U958" s="9"/>
      <c r="V958" s="9"/>
      <c r="W958" s="9"/>
      <c r="X958" s="9"/>
      <c r="Y958" s="9"/>
      <c r="Z958" s="9"/>
      <c r="AA958" s="9"/>
      <c r="AB958" s="212"/>
      <c r="AC958" s="9"/>
      <c r="AD958" s="9"/>
      <c r="AE958" s="10"/>
      <c r="AF958" s="10"/>
      <c r="AG958" s="10"/>
      <c r="AH958" s="10"/>
      <c r="AI958" s="10"/>
      <c r="AJ958" s="10"/>
      <c r="AK958" s="10"/>
      <c r="AL958" s="10"/>
      <c r="AM958" s="10"/>
    </row>
    <row r="959" spans="1:39" ht="15.75" customHeight="1" x14ac:dyDescent="0.2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212"/>
      <c r="Q959" s="9"/>
      <c r="R959" s="9"/>
      <c r="S959" s="9"/>
      <c r="T959" s="9"/>
      <c r="U959" s="9"/>
      <c r="V959" s="9"/>
      <c r="W959" s="9"/>
      <c r="X959" s="9"/>
      <c r="Y959" s="9"/>
      <c r="Z959" s="9"/>
      <c r="AA959" s="9"/>
      <c r="AB959" s="212"/>
      <c r="AC959" s="9"/>
      <c r="AD959" s="9"/>
      <c r="AE959" s="10"/>
      <c r="AF959" s="10"/>
      <c r="AG959" s="10"/>
      <c r="AH959" s="10"/>
      <c r="AI959" s="10"/>
      <c r="AJ959" s="10"/>
      <c r="AK959" s="10"/>
      <c r="AL959" s="10"/>
      <c r="AM959" s="10"/>
    </row>
    <row r="960" spans="1:39" ht="15.75" customHeight="1" x14ac:dyDescent="0.2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212"/>
      <c r="Q960" s="9"/>
      <c r="R960" s="9"/>
      <c r="S960" s="9"/>
      <c r="T960" s="9"/>
      <c r="U960" s="9"/>
      <c r="V960" s="9"/>
      <c r="W960" s="9"/>
      <c r="X960" s="9"/>
      <c r="Y960" s="9"/>
      <c r="Z960" s="9"/>
      <c r="AA960" s="9"/>
      <c r="AB960" s="212"/>
      <c r="AC960" s="9"/>
      <c r="AD960" s="9"/>
      <c r="AE960" s="10"/>
      <c r="AF960" s="10"/>
      <c r="AG960" s="10"/>
      <c r="AH960" s="10"/>
      <c r="AI960" s="10"/>
      <c r="AJ960" s="10"/>
      <c r="AK960" s="10"/>
      <c r="AL960" s="10"/>
      <c r="AM960" s="10"/>
    </row>
    <row r="961" spans="1:39" ht="15.75" customHeight="1" x14ac:dyDescent="0.2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212"/>
      <c r="Q961" s="9"/>
      <c r="R961" s="9"/>
      <c r="S961" s="9"/>
      <c r="T961" s="9"/>
      <c r="U961" s="9"/>
      <c r="V961" s="9"/>
      <c r="W961" s="9"/>
      <c r="X961" s="9"/>
      <c r="Y961" s="9"/>
      <c r="Z961" s="9"/>
      <c r="AA961" s="9"/>
      <c r="AB961" s="212"/>
      <c r="AC961" s="9"/>
      <c r="AD961" s="9"/>
      <c r="AE961" s="10"/>
      <c r="AF961" s="10"/>
      <c r="AG961" s="10"/>
      <c r="AH961" s="10"/>
      <c r="AI961" s="10"/>
      <c r="AJ961" s="10"/>
      <c r="AK961" s="10"/>
      <c r="AL961" s="10"/>
      <c r="AM961" s="10"/>
    </row>
    <row r="962" spans="1:39" ht="15.75" customHeight="1" x14ac:dyDescent="0.2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212"/>
      <c r="Q962" s="9"/>
      <c r="R962" s="9"/>
      <c r="S962" s="9"/>
      <c r="T962" s="9"/>
      <c r="U962" s="9"/>
      <c r="V962" s="9"/>
      <c r="W962" s="9"/>
      <c r="X962" s="9"/>
      <c r="Y962" s="9"/>
      <c r="Z962" s="9"/>
      <c r="AA962" s="9"/>
      <c r="AB962" s="212"/>
      <c r="AC962" s="9"/>
      <c r="AD962" s="9"/>
      <c r="AE962" s="10"/>
      <c r="AF962" s="10"/>
      <c r="AG962" s="10"/>
      <c r="AH962" s="10"/>
      <c r="AI962" s="10"/>
      <c r="AJ962" s="10"/>
      <c r="AK962" s="10"/>
      <c r="AL962" s="10"/>
      <c r="AM962" s="10"/>
    </row>
    <row r="963" spans="1:39" ht="15.75" customHeight="1" x14ac:dyDescent="0.2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212"/>
      <c r="Q963" s="9"/>
      <c r="R963" s="9"/>
      <c r="S963" s="9"/>
      <c r="T963" s="9"/>
      <c r="U963" s="9"/>
      <c r="V963" s="9"/>
      <c r="W963" s="9"/>
      <c r="X963" s="9"/>
      <c r="Y963" s="9"/>
      <c r="Z963" s="9"/>
      <c r="AA963" s="9"/>
      <c r="AB963" s="212"/>
      <c r="AC963" s="9"/>
      <c r="AD963" s="9"/>
      <c r="AE963" s="10"/>
      <c r="AF963" s="10"/>
      <c r="AG963" s="10"/>
      <c r="AH963" s="10"/>
      <c r="AI963" s="10"/>
      <c r="AJ963" s="10"/>
      <c r="AK963" s="10"/>
      <c r="AL963" s="10"/>
      <c r="AM963" s="10"/>
    </row>
    <row r="964" spans="1:39" ht="15.75" customHeight="1" x14ac:dyDescent="0.2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212"/>
      <c r="Q964" s="9"/>
      <c r="R964" s="9"/>
      <c r="S964" s="9"/>
      <c r="T964" s="9"/>
      <c r="U964" s="9"/>
      <c r="V964" s="9"/>
      <c r="W964" s="9"/>
      <c r="X964" s="9"/>
      <c r="Y964" s="9"/>
      <c r="Z964" s="9"/>
      <c r="AA964" s="9"/>
      <c r="AB964" s="212"/>
      <c r="AC964" s="9"/>
      <c r="AD964" s="9"/>
      <c r="AE964" s="10"/>
      <c r="AF964" s="10"/>
      <c r="AG964" s="10"/>
      <c r="AH964" s="10"/>
      <c r="AI964" s="10"/>
      <c r="AJ964" s="10"/>
      <c r="AK964" s="10"/>
      <c r="AL964" s="10"/>
      <c r="AM964" s="10"/>
    </row>
    <row r="965" spans="1:39" ht="15.75" customHeight="1" x14ac:dyDescent="0.2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212"/>
      <c r="Q965" s="9"/>
      <c r="R965" s="9"/>
      <c r="S965" s="9"/>
      <c r="T965" s="9"/>
      <c r="U965" s="9"/>
      <c r="V965" s="9"/>
      <c r="W965" s="9"/>
      <c r="X965" s="9"/>
      <c r="Y965" s="9"/>
      <c r="Z965" s="9"/>
      <c r="AA965" s="9"/>
      <c r="AB965" s="212"/>
      <c r="AC965" s="9"/>
      <c r="AD965" s="9"/>
      <c r="AE965" s="10"/>
      <c r="AF965" s="10"/>
      <c r="AG965" s="10"/>
      <c r="AH965" s="10"/>
      <c r="AI965" s="10"/>
      <c r="AJ965" s="10"/>
      <c r="AK965" s="10"/>
      <c r="AL965" s="10"/>
      <c r="AM965" s="10"/>
    </row>
    <row r="966" spans="1:39" ht="15.75" customHeight="1" x14ac:dyDescent="0.2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212"/>
      <c r="Q966" s="9"/>
      <c r="R966" s="9"/>
      <c r="S966" s="9"/>
      <c r="T966" s="9"/>
      <c r="U966" s="9"/>
      <c r="V966" s="9"/>
      <c r="W966" s="9"/>
      <c r="X966" s="9"/>
      <c r="Y966" s="9"/>
      <c r="Z966" s="9"/>
      <c r="AA966" s="9"/>
      <c r="AB966" s="212"/>
      <c r="AC966" s="9"/>
      <c r="AD966" s="9"/>
      <c r="AE966" s="10"/>
      <c r="AF966" s="10"/>
      <c r="AG966" s="10"/>
      <c r="AH966" s="10"/>
      <c r="AI966" s="10"/>
      <c r="AJ966" s="10"/>
      <c r="AK966" s="10"/>
      <c r="AL966" s="10"/>
      <c r="AM966" s="10"/>
    </row>
    <row r="967" spans="1:39" ht="15.75" customHeight="1" x14ac:dyDescent="0.2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212"/>
      <c r="Q967" s="9"/>
      <c r="R967" s="9"/>
      <c r="S967" s="9"/>
      <c r="T967" s="9"/>
      <c r="U967" s="9"/>
      <c r="V967" s="9"/>
      <c r="W967" s="9"/>
      <c r="X967" s="9"/>
      <c r="Y967" s="9"/>
      <c r="Z967" s="9"/>
      <c r="AA967" s="9"/>
      <c r="AB967" s="212"/>
      <c r="AC967" s="9"/>
      <c r="AD967" s="9"/>
      <c r="AE967" s="10"/>
      <c r="AF967" s="10"/>
      <c r="AG967" s="10"/>
      <c r="AH967" s="10"/>
      <c r="AI967" s="10"/>
      <c r="AJ967" s="10"/>
      <c r="AK967" s="10"/>
      <c r="AL967" s="10"/>
      <c r="AM967" s="10"/>
    </row>
    <row r="968" spans="1:39" ht="15.75" customHeight="1" x14ac:dyDescent="0.2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212"/>
      <c r="Q968" s="9"/>
      <c r="R968" s="9"/>
      <c r="S968" s="9"/>
      <c r="T968" s="9"/>
      <c r="U968" s="9"/>
      <c r="V968" s="9"/>
      <c r="W968" s="9"/>
      <c r="X968" s="9"/>
      <c r="Y968" s="9"/>
      <c r="Z968" s="9"/>
      <c r="AA968" s="9"/>
      <c r="AB968" s="212"/>
      <c r="AC968" s="9"/>
      <c r="AD968" s="9"/>
      <c r="AE968" s="10"/>
      <c r="AF968" s="10"/>
      <c r="AG968" s="10"/>
      <c r="AH968" s="10"/>
      <c r="AI968" s="10"/>
      <c r="AJ968" s="10"/>
      <c r="AK968" s="10"/>
      <c r="AL968" s="10"/>
      <c r="AM968" s="10"/>
    </row>
    <row r="969" spans="1:39" ht="15.75" customHeight="1" x14ac:dyDescent="0.2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212"/>
      <c r="Q969" s="9"/>
      <c r="R969" s="9"/>
      <c r="S969" s="9"/>
      <c r="T969" s="9"/>
      <c r="U969" s="9"/>
      <c r="V969" s="9"/>
      <c r="W969" s="9"/>
      <c r="X969" s="9"/>
      <c r="Y969" s="9"/>
      <c r="Z969" s="9"/>
      <c r="AA969" s="9"/>
      <c r="AB969" s="212"/>
      <c r="AC969" s="9"/>
      <c r="AD969" s="9"/>
      <c r="AE969" s="10"/>
      <c r="AF969" s="10"/>
      <c r="AG969" s="10"/>
      <c r="AH969" s="10"/>
      <c r="AI969" s="10"/>
      <c r="AJ969" s="10"/>
      <c r="AK969" s="10"/>
      <c r="AL969" s="10"/>
      <c r="AM969" s="10"/>
    </row>
    <row r="970" spans="1:39" ht="15.75" customHeight="1" x14ac:dyDescent="0.2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212"/>
      <c r="Q970" s="9"/>
      <c r="R970" s="9"/>
      <c r="S970" s="9"/>
      <c r="T970" s="9"/>
      <c r="U970" s="9"/>
      <c r="V970" s="9"/>
      <c r="W970" s="9"/>
      <c r="X970" s="9"/>
      <c r="Y970" s="9"/>
      <c r="Z970" s="9"/>
      <c r="AA970" s="9"/>
      <c r="AB970" s="212"/>
      <c r="AC970" s="9"/>
      <c r="AD970" s="9"/>
      <c r="AE970" s="10"/>
      <c r="AF970" s="10"/>
      <c r="AG970" s="10"/>
      <c r="AH970" s="10"/>
      <c r="AI970" s="10"/>
      <c r="AJ970" s="10"/>
      <c r="AK970" s="10"/>
      <c r="AL970" s="10"/>
      <c r="AM970" s="10"/>
    </row>
    <row r="971" spans="1:39" ht="15.75" customHeight="1" x14ac:dyDescent="0.2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212"/>
      <c r="Q971" s="9"/>
      <c r="R971" s="9"/>
      <c r="S971" s="9"/>
      <c r="T971" s="9"/>
      <c r="U971" s="9"/>
      <c r="V971" s="9"/>
      <c r="W971" s="9"/>
      <c r="X971" s="9"/>
      <c r="Y971" s="9"/>
      <c r="Z971" s="9"/>
      <c r="AA971" s="9"/>
      <c r="AB971" s="212"/>
      <c r="AC971" s="9"/>
      <c r="AD971" s="9"/>
      <c r="AE971" s="10"/>
      <c r="AF971" s="10"/>
      <c r="AG971" s="10"/>
      <c r="AH971" s="10"/>
      <c r="AI971" s="10"/>
      <c r="AJ971" s="10"/>
      <c r="AK971" s="10"/>
      <c r="AL971" s="10"/>
      <c r="AM971" s="10"/>
    </row>
    <row r="972" spans="1:39" ht="15.75" customHeight="1" x14ac:dyDescent="0.2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212"/>
      <c r="Q972" s="9"/>
      <c r="R972" s="9"/>
      <c r="S972" s="9"/>
      <c r="T972" s="9"/>
      <c r="U972" s="9"/>
      <c r="V972" s="9"/>
      <c r="W972" s="9"/>
      <c r="X972" s="9"/>
      <c r="Y972" s="9"/>
      <c r="Z972" s="9"/>
      <c r="AA972" s="9"/>
      <c r="AB972" s="212"/>
      <c r="AC972" s="9"/>
      <c r="AD972" s="9"/>
      <c r="AE972" s="10"/>
      <c r="AF972" s="10"/>
      <c r="AG972" s="10"/>
      <c r="AH972" s="10"/>
      <c r="AI972" s="10"/>
      <c r="AJ972" s="10"/>
      <c r="AK972" s="10"/>
      <c r="AL972" s="10"/>
      <c r="AM972" s="10"/>
    </row>
    <row r="973" spans="1:39" ht="15.75" customHeight="1" x14ac:dyDescent="0.2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212"/>
      <c r="Q973" s="9"/>
      <c r="R973" s="9"/>
      <c r="S973" s="9"/>
      <c r="T973" s="9"/>
      <c r="U973" s="9"/>
      <c r="V973" s="9"/>
      <c r="W973" s="9"/>
      <c r="X973" s="9"/>
      <c r="Y973" s="9"/>
      <c r="Z973" s="9"/>
      <c r="AA973" s="9"/>
      <c r="AB973" s="212"/>
      <c r="AC973" s="9"/>
      <c r="AD973" s="9"/>
      <c r="AE973" s="10"/>
      <c r="AF973" s="10"/>
      <c r="AG973" s="10"/>
      <c r="AH973" s="10"/>
      <c r="AI973" s="10"/>
      <c r="AJ973" s="10"/>
      <c r="AK973" s="10"/>
      <c r="AL973" s="10"/>
      <c r="AM973" s="10"/>
    </row>
    <row r="974" spans="1:39" ht="15.75" customHeight="1" x14ac:dyDescent="0.2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212"/>
      <c r="Q974" s="9"/>
      <c r="R974" s="9"/>
      <c r="S974" s="9"/>
      <c r="T974" s="9"/>
      <c r="U974" s="9"/>
      <c r="V974" s="9"/>
      <c r="W974" s="9"/>
      <c r="X974" s="9"/>
      <c r="Y974" s="9"/>
      <c r="Z974" s="9"/>
      <c r="AA974" s="9"/>
      <c r="AB974" s="212"/>
      <c r="AC974" s="9"/>
      <c r="AD974" s="9"/>
      <c r="AE974" s="10"/>
      <c r="AF974" s="10"/>
      <c r="AG974" s="10"/>
      <c r="AH974" s="10"/>
      <c r="AI974" s="10"/>
      <c r="AJ974" s="10"/>
      <c r="AK974" s="10"/>
      <c r="AL974" s="10"/>
      <c r="AM974" s="10"/>
    </row>
    <row r="975" spans="1:39" ht="15.75" customHeight="1" x14ac:dyDescent="0.2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212"/>
      <c r="Q975" s="9"/>
      <c r="R975" s="9"/>
      <c r="S975" s="9"/>
      <c r="T975" s="9"/>
      <c r="U975" s="9"/>
      <c r="V975" s="9"/>
      <c r="W975" s="9"/>
      <c r="X975" s="9"/>
      <c r="Y975" s="9"/>
      <c r="Z975" s="9"/>
      <c r="AA975" s="9"/>
      <c r="AB975" s="212"/>
      <c r="AC975" s="9"/>
      <c r="AD975" s="9"/>
      <c r="AE975" s="10"/>
      <c r="AF975" s="10"/>
      <c r="AG975" s="10"/>
      <c r="AH975" s="10"/>
      <c r="AI975" s="10"/>
      <c r="AJ975" s="10"/>
      <c r="AK975" s="10"/>
      <c r="AL975" s="10"/>
      <c r="AM975" s="10"/>
    </row>
    <row r="976" spans="1:39" ht="15.75" customHeight="1" x14ac:dyDescent="0.2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212"/>
      <c r="Q976" s="9"/>
      <c r="R976" s="9"/>
      <c r="S976" s="9"/>
      <c r="T976" s="9"/>
      <c r="U976" s="9"/>
      <c r="V976" s="9"/>
      <c r="W976" s="9"/>
      <c r="X976" s="9"/>
      <c r="Y976" s="9"/>
      <c r="Z976" s="9"/>
      <c r="AA976" s="9"/>
      <c r="AB976" s="212"/>
      <c r="AC976" s="9"/>
      <c r="AD976" s="9"/>
      <c r="AE976" s="10"/>
      <c r="AF976" s="10"/>
      <c r="AG976" s="10"/>
      <c r="AH976" s="10"/>
      <c r="AI976" s="10"/>
      <c r="AJ976" s="10"/>
      <c r="AK976" s="10"/>
      <c r="AL976" s="10"/>
      <c r="AM976" s="10"/>
    </row>
    <row r="977" spans="1:39" ht="15.75" customHeight="1" x14ac:dyDescent="0.2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212"/>
      <c r="Q977" s="9"/>
      <c r="R977" s="9"/>
      <c r="S977" s="9"/>
      <c r="T977" s="9"/>
      <c r="U977" s="9"/>
      <c r="V977" s="9"/>
      <c r="W977" s="9"/>
      <c r="X977" s="9"/>
      <c r="Y977" s="9"/>
      <c r="Z977" s="9"/>
      <c r="AA977" s="9"/>
      <c r="AB977" s="212"/>
      <c r="AC977" s="9"/>
      <c r="AD977" s="9"/>
      <c r="AE977" s="10"/>
      <c r="AF977" s="10"/>
      <c r="AG977" s="10"/>
      <c r="AH977" s="10"/>
      <c r="AI977" s="10"/>
      <c r="AJ977" s="10"/>
      <c r="AK977" s="10"/>
      <c r="AL977" s="10"/>
      <c r="AM977" s="10"/>
    </row>
    <row r="978" spans="1:39" ht="15.75" customHeight="1" x14ac:dyDescent="0.2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212"/>
      <c r="Q978" s="9"/>
      <c r="R978" s="9"/>
      <c r="S978" s="9"/>
      <c r="T978" s="9"/>
      <c r="U978" s="9"/>
      <c r="V978" s="9"/>
      <c r="W978" s="9"/>
      <c r="X978" s="9"/>
      <c r="Y978" s="9"/>
      <c r="Z978" s="9"/>
      <c r="AA978" s="9"/>
      <c r="AB978" s="212"/>
      <c r="AC978" s="9"/>
      <c r="AD978" s="9"/>
      <c r="AE978" s="10"/>
      <c r="AF978" s="10"/>
      <c r="AG978" s="10"/>
      <c r="AH978" s="10"/>
      <c r="AI978" s="10"/>
      <c r="AJ978" s="10"/>
      <c r="AK978" s="10"/>
      <c r="AL978" s="10"/>
      <c r="AM978" s="10"/>
    </row>
    <row r="979" spans="1:39" ht="15.75" customHeight="1" x14ac:dyDescent="0.2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212"/>
      <c r="Q979" s="9"/>
      <c r="R979" s="9"/>
      <c r="S979" s="9"/>
      <c r="T979" s="9"/>
      <c r="U979" s="9"/>
      <c r="V979" s="9"/>
      <c r="W979" s="9"/>
      <c r="X979" s="9"/>
      <c r="Y979" s="9"/>
      <c r="Z979" s="9"/>
      <c r="AA979" s="9"/>
      <c r="AB979" s="212"/>
      <c r="AC979" s="9"/>
      <c r="AD979" s="9"/>
      <c r="AE979" s="10"/>
      <c r="AF979" s="10"/>
      <c r="AG979" s="10"/>
      <c r="AH979" s="10"/>
      <c r="AI979" s="10"/>
      <c r="AJ979" s="10"/>
      <c r="AK979" s="10"/>
      <c r="AL979" s="10"/>
      <c r="AM979" s="10"/>
    </row>
    <row r="980" spans="1:39" ht="15.75" customHeight="1" x14ac:dyDescent="0.2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212"/>
      <c r="Q980" s="9"/>
      <c r="R980" s="9"/>
      <c r="S980" s="9"/>
      <c r="T980" s="9"/>
      <c r="U980" s="9"/>
      <c r="V980" s="9"/>
      <c r="W980" s="9"/>
      <c r="X980" s="9"/>
      <c r="Y980" s="9"/>
      <c r="Z980" s="9"/>
      <c r="AA980" s="9"/>
      <c r="AB980" s="212"/>
      <c r="AC980" s="9"/>
      <c r="AD980" s="9"/>
      <c r="AE980" s="10"/>
      <c r="AF980" s="10"/>
      <c r="AG980" s="10"/>
      <c r="AH980" s="10"/>
      <c r="AI980" s="10"/>
      <c r="AJ980" s="10"/>
      <c r="AK980" s="10"/>
      <c r="AL980" s="10"/>
      <c r="AM980" s="10"/>
    </row>
    <row r="981" spans="1:39" ht="15.75" customHeight="1" x14ac:dyDescent="0.2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212"/>
      <c r="Q981" s="9"/>
      <c r="R981" s="9"/>
      <c r="S981" s="9"/>
      <c r="T981" s="9"/>
      <c r="U981" s="9"/>
      <c r="V981" s="9"/>
      <c r="W981" s="9"/>
      <c r="X981" s="9"/>
      <c r="Y981" s="9"/>
      <c r="Z981" s="9"/>
      <c r="AA981" s="9"/>
      <c r="AB981" s="212"/>
      <c r="AC981" s="9"/>
      <c r="AD981" s="9"/>
      <c r="AE981" s="10"/>
      <c r="AF981" s="10"/>
      <c r="AG981" s="10"/>
      <c r="AH981" s="10"/>
      <c r="AI981" s="10"/>
      <c r="AJ981" s="10"/>
      <c r="AK981" s="10"/>
      <c r="AL981" s="10"/>
      <c r="AM981" s="10"/>
    </row>
    <row r="982" spans="1:39" ht="15.75" customHeight="1" x14ac:dyDescent="0.2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212"/>
      <c r="Q982" s="9"/>
      <c r="R982" s="9"/>
      <c r="S982" s="9"/>
      <c r="T982" s="9"/>
      <c r="U982" s="9"/>
      <c r="V982" s="9"/>
      <c r="W982" s="9"/>
      <c r="X982" s="9"/>
      <c r="Y982" s="9"/>
      <c r="Z982" s="9"/>
      <c r="AA982" s="9"/>
      <c r="AB982" s="212"/>
      <c r="AC982" s="9"/>
      <c r="AD982" s="9"/>
      <c r="AE982" s="10"/>
      <c r="AF982" s="10"/>
      <c r="AG982" s="10"/>
      <c r="AH982" s="10"/>
      <c r="AI982" s="10"/>
      <c r="AJ982" s="10"/>
      <c r="AK982" s="10"/>
      <c r="AL982" s="10"/>
      <c r="AM982" s="10"/>
    </row>
    <row r="983" spans="1:39" ht="15.75" customHeight="1" x14ac:dyDescent="0.2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212"/>
      <c r="Q983" s="9"/>
      <c r="R983" s="9"/>
      <c r="S983" s="9"/>
      <c r="T983" s="9"/>
      <c r="U983" s="9"/>
      <c r="V983" s="9"/>
      <c r="W983" s="9"/>
      <c r="X983" s="9"/>
      <c r="Y983" s="9"/>
      <c r="Z983" s="9"/>
      <c r="AA983" s="9"/>
      <c r="AB983" s="212"/>
      <c r="AC983" s="9"/>
      <c r="AD983" s="9"/>
      <c r="AE983" s="10"/>
      <c r="AF983" s="10"/>
      <c r="AG983" s="10"/>
      <c r="AH983" s="10"/>
      <c r="AI983" s="10"/>
      <c r="AJ983" s="10"/>
      <c r="AK983" s="10"/>
      <c r="AL983" s="10"/>
      <c r="AM983" s="10"/>
    </row>
    <row r="984" spans="1:39" ht="15.75" customHeight="1" x14ac:dyDescent="0.2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212"/>
      <c r="Q984" s="9"/>
      <c r="R984" s="9"/>
      <c r="S984" s="9"/>
      <c r="T984" s="9"/>
      <c r="U984" s="9"/>
      <c r="V984" s="9"/>
      <c r="W984" s="9"/>
      <c r="X984" s="9"/>
      <c r="Y984" s="9"/>
      <c r="Z984" s="9"/>
      <c r="AA984" s="9"/>
      <c r="AB984" s="212"/>
      <c r="AC984" s="9"/>
      <c r="AD984" s="9"/>
      <c r="AE984" s="10"/>
      <c r="AF984" s="10"/>
      <c r="AG984" s="10"/>
      <c r="AH984" s="10"/>
      <c r="AI984" s="10"/>
      <c r="AJ984" s="10"/>
      <c r="AK984" s="10"/>
      <c r="AL984" s="10"/>
      <c r="AM984" s="10"/>
    </row>
    <row r="985" spans="1:39" ht="15.75" customHeight="1" x14ac:dyDescent="0.2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212"/>
      <c r="Q985" s="9"/>
      <c r="R985" s="9"/>
      <c r="S985" s="9"/>
      <c r="T985" s="9"/>
      <c r="U985" s="9"/>
      <c r="V985" s="9"/>
      <c r="W985" s="9"/>
      <c r="X985" s="9"/>
      <c r="Y985" s="9"/>
      <c r="Z985" s="9"/>
      <c r="AA985" s="9"/>
      <c r="AB985" s="212"/>
      <c r="AC985" s="9"/>
      <c r="AD985" s="9"/>
      <c r="AE985" s="10"/>
      <c r="AF985" s="10"/>
      <c r="AG985" s="10"/>
      <c r="AH985" s="10"/>
      <c r="AI985" s="10"/>
      <c r="AJ985" s="10"/>
      <c r="AK985" s="10"/>
      <c r="AL985" s="10"/>
      <c r="AM985" s="10"/>
    </row>
    <row r="986" spans="1:39" ht="15.75" customHeight="1" x14ac:dyDescent="0.2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212"/>
      <c r="Q986" s="9"/>
      <c r="R986" s="9"/>
      <c r="S986" s="9"/>
      <c r="T986" s="9"/>
      <c r="U986" s="9"/>
      <c r="V986" s="9"/>
      <c r="W986" s="9"/>
      <c r="X986" s="9"/>
      <c r="Y986" s="9"/>
      <c r="Z986" s="9"/>
      <c r="AA986" s="9"/>
      <c r="AB986" s="212"/>
      <c r="AC986" s="9"/>
      <c r="AD986" s="9"/>
      <c r="AE986" s="10"/>
      <c r="AF986" s="10"/>
      <c r="AG986" s="10"/>
      <c r="AH986" s="10"/>
      <c r="AI986" s="10"/>
      <c r="AJ986" s="10"/>
      <c r="AK986" s="10"/>
      <c r="AL986" s="10"/>
      <c r="AM986" s="10"/>
    </row>
    <row r="987" spans="1:39" ht="15.75" customHeight="1" x14ac:dyDescent="0.2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212"/>
      <c r="Q987" s="9"/>
      <c r="R987" s="9"/>
      <c r="S987" s="9"/>
      <c r="T987" s="9"/>
      <c r="U987" s="9"/>
      <c r="V987" s="9"/>
      <c r="W987" s="9"/>
      <c r="X987" s="9"/>
      <c r="Y987" s="9"/>
      <c r="Z987" s="9"/>
      <c r="AA987" s="9"/>
      <c r="AB987" s="212"/>
      <c r="AC987" s="9"/>
      <c r="AD987" s="9"/>
      <c r="AE987" s="10"/>
      <c r="AF987" s="10"/>
      <c r="AG987" s="10"/>
      <c r="AH987" s="10"/>
      <c r="AI987" s="10"/>
      <c r="AJ987" s="10"/>
      <c r="AK987" s="10"/>
      <c r="AL987" s="10"/>
      <c r="AM987" s="10"/>
    </row>
    <row r="988" spans="1:39" ht="15.75" customHeight="1" x14ac:dyDescent="0.2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212"/>
      <c r="Q988" s="9"/>
      <c r="R988" s="9"/>
      <c r="S988" s="9"/>
      <c r="T988" s="9"/>
      <c r="U988" s="9"/>
      <c r="V988" s="9"/>
      <c r="W988" s="9"/>
      <c r="X988" s="9"/>
      <c r="Y988" s="9"/>
      <c r="Z988" s="9"/>
      <c r="AA988" s="9"/>
      <c r="AB988" s="212"/>
      <c r="AC988" s="9"/>
      <c r="AD988" s="9"/>
      <c r="AE988" s="10"/>
      <c r="AF988" s="10"/>
      <c r="AG988" s="10"/>
      <c r="AH988" s="10"/>
      <c r="AI988" s="10"/>
      <c r="AJ988" s="10"/>
      <c r="AK988" s="10"/>
      <c r="AL988" s="10"/>
      <c r="AM988" s="10"/>
    </row>
    <row r="989" spans="1:39" ht="15.75" customHeight="1" x14ac:dyDescent="0.2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212"/>
      <c r="Q989" s="9"/>
      <c r="R989" s="9"/>
      <c r="S989" s="9"/>
      <c r="T989" s="9"/>
      <c r="U989" s="9"/>
      <c r="V989" s="9"/>
      <c r="W989" s="9"/>
      <c r="X989" s="9"/>
      <c r="Y989" s="9"/>
      <c r="Z989" s="9"/>
      <c r="AA989" s="9"/>
      <c r="AB989" s="212"/>
      <c r="AC989" s="9"/>
      <c r="AD989" s="9"/>
      <c r="AE989" s="10"/>
      <c r="AF989" s="10"/>
      <c r="AG989" s="10"/>
      <c r="AH989" s="10"/>
      <c r="AI989" s="10"/>
      <c r="AJ989" s="10"/>
      <c r="AK989" s="10"/>
      <c r="AL989" s="10"/>
      <c r="AM989" s="10"/>
    </row>
    <row r="990" spans="1:39" ht="15.75" customHeight="1" x14ac:dyDescent="0.2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212"/>
      <c r="Q990" s="9"/>
      <c r="R990" s="9"/>
      <c r="S990" s="9"/>
      <c r="T990" s="9"/>
      <c r="U990" s="9"/>
      <c r="V990" s="9"/>
      <c r="W990" s="9"/>
      <c r="X990" s="9"/>
      <c r="Y990" s="9"/>
      <c r="Z990" s="9"/>
      <c r="AA990" s="9"/>
      <c r="AB990" s="212"/>
      <c r="AC990" s="9"/>
      <c r="AD990" s="9"/>
      <c r="AE990" s="10"/>
      <c r="AF990" s="10"/>
      <c r="AG990" s="10"/>
      <c r="AH990" s="10"/>
      <c r="AI990" s="10"/>
      <c r="AJ990" s="10"/>
      <c r="AK990" s="10"/>
      <c r="AL990" s="10"/>
      <c r="AM990" s="10"/>
    </row>
    <row r="991" spans="1:39" ht="15.75" customHeight="1" x14ac:dyDescent="0.2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212"/>
      <c r="Q991" s="9"/>
      <c r="R991" s="9"/>
      <c r="S991" s="9"/>
      <c r="T991" s="9"/>
      <c r="U991" s="9"/>
      <c r="V991" s="9"/>
      <c r="W991" s="9"/>
      <c r="X991" s="9"/>
      <c r="Y991" s="9"/>
      <c r="Z991" s="9"/>
      <c r="AA991" s="9"/>
      <c r="AB991" s="212"/>
      <c r="AC991" s="9"/>
      <c r="AD991" s="9"/>
      <c r="AE991" s="10"/>
      <c r="AF991" s="10"/>
      <c r="AG991" s="10"/>
      <c r="AH991" s="10"/>
      <c r="AI991" s="10"/>
      <c r="AJ991" s="10"/>
      <c r="AK991" s="10"/>
      <c r="AL991" s="10"/>
      <c r="AM991" s="10"/>
    </row>
    <row r="992" spans="1:39" ht="15.75" customHeight="1" x14ac:dyDescent="0.2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212"/>
      <c r="Q992" s="9"/>
      <c r="R992" s="9"/>
      <c r="S992" s="9"/>
      <c r="T992" s="9"/>
      <c r="U992" s="9"/>
      <c r="V992" s="9"/>
      <c r="W992" s="9"/>
      <c r="X992" s="9"/>
      <c r="Y992" s="9"/>
      <c r="Z992" s="9"/>
      <c r="AA992" s="9"/>
      <c r="AB992" s="212"/>
      <c r="AC992" s="9"/>
      <c r="AD992" s="9"/>
      <c r="AE992" s="10"/>
      <c r="AF992" s="10"/>
      <c r="AG992" s="10"/>
      <c r="AH992" s="10"/>
      <c r="AI992" s="10"/>
      <c r="AJ992" s="10"/>
      <c r="AK992" s="10"/>
      <c r="AL992" s="10"/>
      <c r="AM992" s="10"/>
    </row>
    <row r="993" spans="1:39" ht="15.75" customHeight="1" x14ac:dyDescent="0.2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212"/>
      <c r="Q993" s="9"/>
      <c r="R993" s="9"/>
      <c r="S993" s="9"/>
      <c r="T993" s="9"/>
      <c r="U993" s="9"/>
      <c r="V993" s="9"/>
      <c r="W993" s="9"/>
      <c r="X993" s="9"/>
      <c r="Y993" s="9"/>
      <c r="Z993" s="9"/>
      <c r="AA993" s="9"/>
      <c r="AB993" s="212"/>
      <c r="AC993" s="9"/>
      <c r="AD993" s="9"/>
      <c r="AE993" s="10"/>
      <c r="AF993" s="10"/>
      <c r="AG993" s="10"/>
      <c r="AH993" s="10"/>
      <c r="AI993" s="10"/>
      <c r="AJ993" s="10"/>
      <c r="AK993" s="10"/>
      <c r="AL993" s="10"/>
      <c r="AM993" s="10"/>
    </row>
    <row r="994" spans="1:39" ht="15.75" customHeight="1" x14ac:dyDescent="0.2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212"/>
      <c r="Q994" s="9"/>
      <c r="R994" s="9"/>
      <c r="S994" s="9"/>
      <c r="T994" s="9"/>
      <c r="U994" s="9"/>
      <c r="V994" s="9"/>
      <c r="W994" s="9"/>
      <c r="X994" s="9"/>
      <c r="Y994" s="9"/>
      <c r="Z994" s="9"/>
      <c r="AA994" s="9"/>
      <c r="AB994" s="212"/>
      <c r="AC994" s="9"/>
      <c r="AD994" s="9"/>
      <c r="AE994" s="10"/>
      <c r="AF994" s="10"/>
      <c r="AG994" s="10"/>
      <c r="AH994" s="10"/>
      <c r="AI994" s="10"/>
      <c r="AJ994" s="10"/>
      <c r="AK994" s="10"/>
      <c r="AL994" s="10"/>
      <c r="AM994" s="10"/>
    </row>
    <row r="995" spans="1:39" ht="15.75" customHeight="1" x14ac:dyDescent="0.2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212"/>
      <c r="Q995" s="9"/>
      <c r="R995" s="9"/>
      <c r="S995" s="9"/>
      <c r="T995" s="9"/>
      <c r="U995" s="9"/>
      <c r="V995" s="9"/>
      <c r="W995" s="9"/>
      <c r="X995" s="9"/>
      <c r="Y995" s="9"/>
      <c r="Z995" s="9"/>
      <c r="AA995" s="9"/>
      <c r="AB995" s="212"/>
      <c r="AC995" s="9"/>
      <c r="AD995" s="9"/>
      <c r="AE995" s="10"/>
      <c r="AF995" s="10"/>
      <c r="AG995" s="10"/>
      <c r="AH995" s="10"/>
      <c r="AI995" s="10"/>
      <c r="AJ995" s="10"/>
      <c r="AK995" s="10"/>
      <c r="AL995" s="10"/>
      <c r="AM995" s="10"/>
    </row>
    <row r="996" spans="1:39" ht="15.75" customHeight="1" x14ac:dyDescent="0.2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212"/>
      <c r="Q996" s="9"/>
      <c r="R996" s="9"/>
      <c r="S996" s="9"/>
      <c r="T996" s="9"/>
      <c r="U996" s="9"/>
      <c r="V996" s="9"/>
      <c r="W996" s="9"/>
      <c r="X996" s="9"/>
      <c r="Y996" s="9"/>
      <c r="Z996" s="9"/>
      <c r="AA996" s="9"/>
      <c r="AB996" s="212"/>
      <c r="AC996" s="9"/>
      <c r="AD996" s="9"/>
      <c r="AE996" s="10"/>
      <c r="AF996" s="10"/>
      <c r="AG996" s="10"/>
      <c r="AH996" s="10"/>
      <c r="AI996" s="10"/>
      <c r="AJ996" s="10"/>
      <c r="AK996" s="10"/>
      <c r="AL996" s="10"/>
      <c r="AM996" s="10"/>
    </row>
    <row r="997" spans="1:39" ht="15.75" customHeight="1" x14ac:dyDescent="0.2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212"/>
      <c r="Q997" s="9"/>
      <c r="R997" s="9"/>
      <c r="S997" s="9"/>
      <c r="T997" s="9"/>
      <c r="U997" s="9"/>
      <c r="V997" s="9"/>
      <c r="W997" s="9"/>
      <c r="X997" s="9"/>
      <c r="Y997" s="9"/>
      <c r="Z997" s="9"/>
      <c r="AA997" s="9"/>
      <c r="AB997" s="212"/>
      <c r="AC997" s="9"/>
      <c r="AD997" s="9"/>
      <c r="AE997" s="10"/>
      <c r="AF997" s="10"/>
      <c r="AG997" s="10"/>
      <c r="AH997" s="10"/>
      <c r="AI997" s="10"/>
      <c r="AJ997" s="10"/>
      <c r="AK997" s="10"/>
      <c r="AL997" s="10"/>
      <c r="AM997" s="10"/>
    </row>
    <row r="998" spans="1:39" ht="15.75" customHeight="1" x14ac:dyDescent="0.2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212"/>
      <c r="Q998" s="9"/>
      <c r="R998" s="9"/>
      <c r="S998" s="9"/>
      <c r="T998" s="9"/>
      <c r="U998" s="9"/>
      <c r="V998" s="9"/>
      <c r="W998" s="9"/>
      <c r="X998" s="9"/>
      <c r="Y998" s="9"/>
      <c r="Z998" s="9"/>
      <c r="AA998" s="9"/>
      <c r="AB998" s="212"/>
      <c r="AC998" s="9"/>
      <c r="AD998" s="9"/>
      <c r="AE998" s="10"/>
      <c r="AF998" s="10"/>
      <c r="AG998" s="10"/>
      <c r="AH998" s="10"/>
      <c r="AI998" s="10"/>
      <c r="AJ998" s="10"/>
      <c r="AK998" s="10"/>
      <c r="AL998" s="10"/>
      <c r="AM998" s="10"/>
    </row>
    <row r="999" spans="1:39" ht="15.75" customHeight="1" x14ac:dyDescent="0.2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212"/>
      <c r="Q999" s="9"/>
      <c r="R999" s="9"/>
      <c r="S999" s="9"/>
      <c r="T999" s="9"/>
      <c r="U999" s="9"/>
      <c r="V999" s="9"/>
      <c r="W999" s="9"/>
      <c r="X999" s="9"/>
      <c r="Y999" s="9"/>
      <c r="Z999" s="9"/>
      <c r="AA999" s="9"/>
      <c r="AB999" s="212"/>
      <c r="AC999" s="9"/>
      <c r="AD999" s="9"/>
      <c r="AE999" s="10"/>
      <c r="AF999" s="10"/>
      <c r="AG999" s="10"/>
      <c r="AH999" s="10"/>
      <c r="AI999" s="10"/>
      <c r="AJ999" s="10"/>
      <c r="AK999" s="10"/>
      <c r="AL999" s="10"/>
      <c r="AM999" s="10"/>
    </row>
    <row r="1000" spans="1:39" ht="15.75" customHeight="1" x14ac:dyDescent="0.2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212"/>
      <c r="Q1000" s="9"/>
      <c r="R1000" s="9"/>
      <c r="S1000" s="9"/>
      <c r="T1000" s="9"/>
      <c r="U1000" s="9"/>
      <c r="V1000" s="9"/>
      <c r="W1000" s="9"/>
      <c r="X1000" s="9"/>
      <c r="Y1000" s="9"/>
      <c r="Z1000" s="9"/>
      <c r="AA1000" s="9"/>
      <c r="AB1000" s="212"/>
      <c r="AC1000" s="9"/>
      <c r="AD1000" s="9"/>
      <c r="AE1000" s="10"/>
      <c r="AF1000" s="10"/>
      <c r="AG1000" s="10"/>
      <c r="AH1000" s="10"/>
      <c r="AI1000" s="10"/>
      <c r="AJ1000" s="10"/>
      <c r="AK1000" s="10"/>
      <c r="AL1000" s="10"/>
      <c r="AM1000" s="10"/>
    </row>
    <row r="1001" spans="1:39" ht="15.75" customHeight="1" x14ac:dyDescent="0.2">
      <c r="A1001" s="9"/>
      <c r="B1001" s="9"/>
      <c r="C1001" s="9"/>
      <c r="D1001" s="9"/>
      <c r="E1001" s="9"/>
      <c r="F1001" s="9"/>
      <c r="G1001" s="9"/>
      <c r="H1001" s="9"/>
      <c r="I1001" s="9"/>
      <c r="J1001" s="9"/>
      <c r="K1001" s="9"/>
      <c r="L1001" s="9"/>
      <c r="M1001" s="9"/>
      <c r="N1001" s="9"/>
      <c r="O1001" s="9"/>
      <c r="P1001" s="212"/>
      <c r="Q1001" s="9"/>
      <c r="R1001" s="9"/>
      <c r="S1001" s="9"/>
      <c r="T1001" s="9"/>
      <c r="U1001" s="9"/>
      <c r="V1001" s="9"/>
      <c r="W1001" s="9"/>
      <c r="X1001" s="9"/>
      <c r="Y1001" s="9"/>
      <c r="Z1001" s="9"/>
      <c r="AA1001" s="9"/>
      <c r="AB1001" s="212"/>
      <c r="AC1001" s="9"/>
      <c r="AD1001" s="9"/>
      <c r="AE1001" s="10"/>
      <c r="AF1001" s="10"/>
      <c r="AG1001" s="10"/>
      <c r="AH1001" s="10"/>
      <c r="AI1001" s="10"/>
      <c r="AJ1001" s="10"/>
      <c r="AK1001" s="10"/>
      <c r="AL1001" s="10"/>
      <c r="AM1001" s="10"/>
    </row>
    <row r="1002" spans="1:39" ht="15.75" customHeight="1" x14ac:dyDescent="0.2">
      <c r="A1002" s="9"/>
      <c r="B1002" s="9"/>
      <c r="C1002" s="9"/>
      <c r="D1002" s="9"/>
      <c r="E1002" s="9"/>
      <c r="F1002" s="9"/>
      <c r="G1002" s="9"/>
      <c r="H1002" s="9"/>
      <c r="I1002" s="9"/>
      <c r="J1002" s="9"/>
      <c r="K1002" s="9"/>
      <c r="L1002" s="9"/>
      <c r="M1002" s="9"/>
      <c r="N1002" s="9"/>
      <c r="O1002" s="9"/>
      <c r="P1002" s="212"/>
      <c r="Q1002" s="9"/>
      <c r="R1002" s="9"/>
      <c r="S1002" s="9"/>
      <c r="T1002" s="9"/>
      <c r="U1002" s="9"/>
      <c r="V1002" s="9"/>
      <c r="W1002" s="9"/>
      <c r="X1002" s="9"/>
      <c r="Y1002" s="9"/>
      <c r="Z1002" s="9"/>
      <c r="AA1002" s="9"/>
      <c r="AB1002" s="212"/>
      <c r="AC1002" s="9"/>
      <c r="AD1002" s="9"/>
      <c r="AE1002" s="10"/>
      <c r="AF1002" s="10"/>
      <c r="AG1002" s="10"/>
      <c r="AH1002" s="10"/>
      <c r="AI1002" s="10"/>
      <c r="AJ1002" s="10"/>
      <c r="AK1002" s="10"/>
      <c r="AL1002" s="10"/>
      <c r="AM1002" s="10"/>
    </row>
    <row r="1003" spans="1:39" ht="15.75" customHeight="1" x14ac:dyDescent="0.2">
      <c r="A1003" s="9"/>
      <c r="B1003" s="9"/>
      <c r="C1003" s="9"/>
      <c r="D1003" s="9"/>
      <c r="E1003" s="9"/>
      <c r="F1003" s="9"/>
      <c r="G1003" s="9"/>
      <c r="H1003" s="9"/>
      <c r="I1003" s="9"/>
      <c r="J1003" s="9"/>
      <c r="K1003" s="9"/>
      <c r="L1003" s="9"/>
      <c r="M1003" s="9"/>
      <c r="N1003" s="9"/>
      <c r="O1003" s="9"/>
      <c r="P1003" s="212"/>
      <c r="Q1003" s="9"/>
      <c r="R1003" s="9"/>
      <c r="S1003" s="9"/>
      <c r="T1003" s="9"/>
      <c r="U1003" s="9"/>
      <c r="V1003" s="9"/>
      <c r="W1003" s="9"/>
      <c r="X1003" s="9"/>
      <c r="Y1003" s="9"/>
      <c r="Z1003" s="9"/>
      <c r="AA1003" s="9"/>
      <c r="AB1003" s="212"/>
      <c r="AC1003" s="9"/>
      <c r="AD1003" s="9"/>
      <c r="AE1003" s="10"/>
      <c r="AF1003" s="10"/>
      <c r="AG1003" s="10"/>
      <c r="AH1003" s="10"/>
      <c r="AI1003" s="10"/>
      <c r="AJ1003" s="10"/>
      <c r="AK1003" s="10"/>
      <c r="AL1003" s="10"/>
      <c r="AM1003" s="10"/>
    </row>
    <row r="1004" spans="1:39" ht="15.75" customHeight="1" x14ac:dyDescent="0.2">
      <c r="A1004" s="9"/>
      <c r="B1004" s="9"/>
      <c r="C1004" s="9"/>
      <c r="D1004" s="9"/>
      <c r="E1004" s="9"/>
      <c r="F1004" s="9"/>
      <c r="G1004" s="9"/>
      <c r="H1004" s="9"/>
      <c r="I1004" s="9"/>
      <c r="J1004" s="9"/>
      <c r="K1004" s="9"/>
      <c r="L1004" s="9"/>
      <c r="M1004" s="9"/>
      <c r="N1004" s="9"/>
      <c r="O1004" s="9"/>
      <c r="P1004" s="212"/>
      <c r="Q1004" s="9"/>
      <c r="R1004" s="9"/>
      <c r="S1004" s="9"/>
      <c r="T1004" s="9"/>
      <c r="U1004" s="9"/>
      <c r="V1004" s="9"/>
      <c r="W1004" s="9"/>
      <c r="X1004" s="9"/>
      <c r="Y1004" s="9"/>
      <c r="Z1004" s="9"/>
      <c r="AA1004" s="9"/>
      <c r="AB1004" s="212"/>
      <c r="AC1004" s="9"/>
      <c r="AD1004" s="9"/>
      <c r="AE1004" s="10"/>
      <c r="AF1004" s="10"/>
      <c r="AG1004" s="10"/>
      <c r="AH1004" s="10"/>
      <c r="AI1004" s="10"/>
      <c r="AJ1004" s="10"/>
      <c r="AK1004" s="10"/>
      <c r="AL1004" s="10"/>
      <c r="AM1004" s="10"/>
    </row>
    <row r="1005" spans="1:39" ht="15.75" customHeight="1" x14ac:dyDescent="0.2">
      <c r="A1005" s="9"/>
      <c r="B1005" s="9"/>
      <c r="C1005" s="9"/>
      <c r="D1005" s="9"/>
      <c r="E1005" s="9"/>
      <c r="F1005" s="9"/>
      <c r="G1005" s="9"/>
      <c r="H1005" s="9"/>
      <c r="I1005" s="9"/>
      <c r="J1005" s="9"/>
      <c r="K1005" s="9"/>
      <c r="L1005" s="9"/>
      <c r="M1005" s="9"/>
      <c r="N1005" s="9"/>
      <c r="O1005" s="9"/>
      <c r="P1005" s="212"/>
      <c r="Q1005" s="9"/>
      <c r="R1005" s="9"/>
      <c r="S1005" s="9"/>
      <c r="T1005" s="9"/>
      <c r="U1005" s="9"/>
      <c r="V1005" s="9"/>
      <c r="W1005" s="9"/>
      <c r="X1005" s="9"/>
      <c r="Y1005" s="9"/>
      <c r="Z1005" s="9"/>
      <c r="AA1005" s="9"/>
      <c r="AB1005" s="212"/>
      <c r="AC1005" s="9"/>
      <c r="AD1005" s="9"/>
      <c r="AE1005" s="10"/>
      <c r="AF1005" s="10"/>
      <c r="AG1005" s="10"/>
      <c r="AH1005" s="10"/>
      <c r="AI1005" s="10"/>
      <c r="AJ1005" s="10"/>
      <c r="AK1005" s="10"/>
      <c r="AL1005" s="10"/>
      <c r="AM1005" s="10"/>
    </row>
    <row r="1006" spans="1:39" ht="15.75" customHeight="1" x14ac:dyDescent="0.2">
      <c r="A1006" s="9"/>
      <c r="B1006" s="9"/>
      <c r="C1006" s="9"/>
      <c r="D1006" s="9"/>
      <c r="E1006" s="9"/>
      <c r="F1006" s="9"/>
      <c r="G1006" s="9"/>
      <c r="H1006" s="9"/>
      <c r="I1006" s="9"/>
      <c r="J1006" s="9"/>
      <c r="K1006" s="9"/>
      <c r="L1006" s="9"/>
      <c r="M1006" s="9"/>
      <c r="N1006" s="9"/>
      <c r="O1006" s="9"/>
      <c r="P1006" s="212"/>
      <c r="Q1006" s="9"/>
      <c r="R1006" s="9"/>
      <c r="S1006" s="9"/>
      <c r="T1006" s="9"/>
      <c r="U1006" s="9"/>
      <c r="V1006" s="9"/>
      <c r="W1006" s="9"/>
      <c r="X1006" s="9"/>
      <c r="Y1006" s="9"/>
      <c r="Z1006" s="9"/>
      <c r="AA1006" s="9"/>
      <c r="AB1006" s="212"/>
      <c r="AC1006" s="9"/>
      <c r="AD1006" s="9"/>
      <c r="AE1006" s="10"/>
      <c r="AF1006" s="10"/>
      <c r="AG1006" s="10"/>
      <c r="AH1006" s="10"/>
      <c r="AI1006" s="10"/>
      <c r="AJ1006" s="10"/>
      <c r="AK1006" s="10"/>
      <c r="AL1006" s="10"/>
      <c r="AM1006" s="10"/>
    </row>
    <row r="1007" spans="1:39" ht="15.75" customHeight="1" x14ac:dyDescent="0.2">
      <c r="A1007" s="9"/>
      <c r="B1007" s="9"/>
      <c r="C1007" s="9"/>
      <c r="D1007" s="9"/>
      <c r="E1007" s="9"/>
      <c r="F1007" s="9"/>
      <c r="G1007" s="9"/>
      <c r="H1007" s="9"/>
      <c r="I1007" s="9"/>
      <c r="J1007" s="9"/>
      <c r="K1007" s="9"/>
      <c r="L1007" s="9"/>
      <c r="M1007" s="9"/>
      <c r="N1007" s="9"/>
      <c r="O1007" s="9"/>
      <c r="P1007" s="212"/>
      <c r="Q1007" s="9"/>
      <c r="R1007" s="9"/>
      <c r="S1007" s="9"/>
      <c r="T1007" s="9"/>
      <c r="U1007" s="9"/>
      <c r="V1007" s="9"/>
      <c r="W1007" s="9"/>
      <c r="X1007" s="9"/>
      <c r="Y1007" s="9"/>
      <c r="Z1007" s="9"/>
      <c r="AA1007" s="9"/>
      <c r="AB1007" s="212"/>
      <c r="AC1007" s="9"/>
      <c r="AD1007" s="9"/>
      <c r="AE1007" s="10"/>
      <c r="AF1007" s="10"/>
      <c r="AG1007" s="10"/>
      <c r="AH1007" s="10"/>
      <c r="AI1007" s="10"/>
      <c r="AJ1007" s="10"/>
      <c r="AK1007" s="10"/>
      <c r="AL1007" s="10"/>
      <c r="AM1007" s="10"/>
    </row>
    <row r="1008" spans="1:39" ht="15.75" customHeight="1" x14ac:dyDescent="0.2">
      <c r="A1008" s="9"/>
      <c r="B1008" s="9"/>
      <c r="C1008" s="9"/>
      <c r="D1008" s="9"/>
      <c r="E1008" s="9"/>
      <c r="F1008" s="9"/>
      <c r="G1008" s="9"/>
      <c r="H1008" s="9"/>
      <c r="I1008" s="9"/>
      <c r="J1008" s="9"/>
      <c r="K1008" s="9"/>
      <c r="L1008" s="9"/>
      <c r="M1008" s="9"/>
      <c r="N1008" s="9"/>
      <c r="O1008" s="9"/>
      <c r="P1008" s="212"/>
      <c r="Q1008" s="9"/>
      <c r="R1008" s="9"/>
      <c r="S1008" s="9"/>
      <c r="T1008" s="9"/>
      <c r="U1008" s="9"/>
      <c r="V1008" s="9"/>
      <c r="W1008" s="9"/>
      <c r="X1008" s="9"/>
      <c r="Y1008" s="9"/>
      <c r="Z1008" s="9"/>
      <c r="AA1008" s="9"/>
      <c r="AB1008" s="212"/>
      <c r="AC1008" s="9"/>
      <c r="AD1008" s="9"/>
      <c r="AE1008" s="10"/>
      <c r="AF1008" s="10"/>
      <c r="AG1008" s="10"/>
      <c r="AH1008" s="10"/>
      <c r="AI1008" s="10"/>
      <c r="AJ1008" s="10"/>
      <c r="AK1008" s="10"/>
      <c r="AL1008" s="10"/>
      <c r="AM1008" s="10"/>
    </row>
    <row r="1009" spans="1:39" ht="15.75" customHeight="1" x14ac:dyDescent="0.2">
      <c r="A1009" s="9"/>
      <c r="B1009" s="9"/>
      <c r="C1009" s="9"/>
      <c r="D1009" s="9"/>
      <c r="E1009" s="9"/>
      <c r="F1009" s="9"/>
      <c r="G1009" s="9"/>
      <c r="H1009" s="9"/>
      <c r="I1009" s="9"/>
      <c r="J1009" s="9"/>
      <c r="K1009" s="9"/>
      <c r="L1009" s="9"/>
      <c r="M1009" s="9"/>
      <c r="N1009" s="9"/>
      <c r="O1009" s="9"/>
      <c r="P1009" s="212"/>
      <c r="Q1009" s="9"/>
      <c r="R1009" s="9"/>
      <c r="S1009" s="9"/>
      <c r="T1009" s="9"/>
      <c r="U1009" s="9"/>
      <c r="V1009" s="9"/>
      <c r="W1009" s="9"/>
      <c r="X1009" s="9"/>
      <c r="Y1009" s="9"/>
      <c r="Z1009" s="9"/>
      <c r="AA1009" s="9"/>
      <c r="AB1009" s="212"/>
      <c r="AC1009" s="9"/>
      <c r="AD1009" s="9"/>
      <c r="AE1009" s="10"/>
      <c r="AF1009" s="10"/>
      <c r="AG1009" s="10"/>
      <c r="AH1009" s="10"/>
      <c r="AI1009" s="10"/>
      <c r="AJ1009" s="10"/>
      <c r="AK1009" s="10"/>
      <c r="AL1009" s="10"/>
      <c r="AM1009" s="10"/>
    </row>
    <row r="1010" spans="1:39" ht="15.75" customHeight="1" x14ac:dyDescent="0.2">
      <c r="A1010" s="9"/>
      <c r="B1010" s="9"/>
      <c r="C1010" s="9"/>
      <c r="D1010" s="9"/>
      <c r="E1010" s="9"/>
      <c r="F1010" s="9"/>
      <c r="G1010" s="9"/>
      <c r="H1010" s="9"/>
      <c r="I1010" s="9"/>
      <c r="J1010" s="9"/>
      <c r="K1010" s="9"/>
      <c r="L1010" s="9"/>
      <c r="M1010" s="9"/>
      <c r="N1010" s="9"/>
      <c r="O1010" s="9"/>
      <c r="P1010" s="212"/>
      <c r="Q1010" s="9"/>
      <c r="R1010" s="9"/>
      <c r="S1010" s="9"/>
      <c r="T1010" s="9"/>
      <c r="U1010" s="9"/>
      <c r="V1010" s="9"/>
      <c r="W1010" s="9"/>
      <c r="X1010" s="9"/>
      <c r="Y1010" s="9"/>
      <c r="Z1010" s="9"/>
      <c r="AA1010" s="9"/>
      <c r="AB1010" s="212"/>
      <c r="AC1010" s="9"/>
      <c r="AD1010" s="9"/>
      <c r="AE1010" s="10"/>
      <c r="AF1010" s="10"/>
      <c r="AG1010" s="10"/>
      <c r="AH1010" s="10"/>
      <c r="AI1010" s="10"/>
      <c r="AJ1010" s="10"/>
      <c r="AK1010" s="10"/>
      <c r="AL1010" s="10"/>
      <c r="AM1010" s="10"/>
    </row>
    <row r="1011" spans="1:39" ht="15.75" customHeight="1" x14ac:dyDescent="0.2">
      <c r="A1011" s="9"/>
      <c r="B1011" s="9"/>
      <c r="C1011" s="9"/>
      <c r="D1011" s="9"/>
      <c r="E1011" s="9"/>
      <c r="F1011" s="9"/>
      <c r="G1011" s="9"/>
      <c r="H1011" s="9"/>
      <c r="I1011" s="9"/>
      <c r="J1011" s="9"/>
      <c r="K1011" s="9"/>
      <c r="L1011" s="9"/>
      <c r="M1011" s="9"/>
      <c r="N1011" s="9"/>
      <c r="O1011" s="9"/>
      <c r="P1011" s="212"/>
      <c r="Q1011" s="9"/>
      <c r="R1011" s="9"/>
      <c r="S1011" s="9"/>
      <c r="T1011" s="9"/>
      <c r="U1011" s="9"/>
      <c r="V1011" s="9"/>
      <c r="W1011" s="9"/>
      <c r="X1011" s="9"/>
      <c r="Y1011" s="9"/>
      <c r="Z1011" s="9"/>
      <c r="AA1011" s="9"/>
      <c r="AB1011" s="212"/>
      <c r="AC1011" s="9"/>
      <c r="AD1011" s="9"/>
      <c r="AE1011" s="10"/>
      <c r="AF1011" s="10"/>
      <c r="AG1011" s="10"/>
      <c r="AH1011" s="10"/>
      <c r="AI1011" s="10"/>
      <c r="AJ1011" s="10"/>
      <c r="AK1011" s="10"/>
      <c r="AL1011" s="10"/>
      <c r="AM1011" s="10"/>
    </row>
    <row r="1012" spans="1:39" ht="15.75" customHeight="1" x14ac:dyDescent="0.2">
      <c r="A1012" s="9"/>
      <c r="B1012" s="9"/>
      <c r="C1012" s="9"/>
      <c r="D1012" s="9"/>
      <c r="E1012" s="9"/>
      <c r="F1012" s="9"/>
      <c r="G1012" s="9"/>
      <c r="H1012" s="9"/>
      <c r="I1012" s="9"/>
      <c r="J1012" s="9"/>
      <c r="K1012" s="9"/>
      <c r="L1012" s="9"/>
      <c r="M1012" s="9"/>
      <c r="N1012" s="9"/>
      <c r="O1012" s="9"/>
      <c r="P1012" s="212"/>
      <c r="Q1012" s="9"/>
      <c r="R1012" s="9"/>
      <c r="S1012" s="9"/>
      <c r="T1012" s="9"/>
      <c r="U1012" s="9"/>
      <c r="V1012" s="9"/>
      <c r="W1012" s="9"/>
      <c r="X1012" s="9"/>
      <c r="Y1012" s="9"/>
      <c r="Z1012" s="9"/>
      <c r="AA1012" s="9"/>
      <c r="AB1012" s="212"/>
      <c r="AC1012" s="9"/>
      <c r="AD1012" s="9"/>
      <c r="AE1012" s="10"/>
      <c r="AF1012" s="10"/>
      <c r="AG1012" s="10"/>
      <c r="AH1012" s="10"/>
      <c r="AI1012" s="10"/>
      <c r="AJ1012" s="10"/>
      <c r="AK1012" s="10"/>
      <c r="AL1012" s="10"/>
      <c r="AM1012" s="10"/>
    </row>
    <row r="1013" spans="1:39" ht="15.75" customHeight="1" x14ac:dyDescent="0.2">
      <c r="A1013" s="9"/>
      <c r="B1013" s="9"/>
      <c r="C1013" s="9"/>
      <c r="D1013" s="9"/>
      <c r="E1013" s="9"/>
      <c r="F1013" s="9"/>
      <c r="G1013" s="9"/>
      <c r="H1013" s="9"/>
      <c r="I1013" s="9"/>
      <c r="J1013" s="9"/>
      <c r="K1013" s="9"/>
      <c r="L1013" s="9"/>
      <c r="M1013" s="9"/>
      <c r="N1013" s="9"/>
      <c r="O1013" s="9"/>
      <c r="P1013" s="212"/>
      <c r="Q1013" s="9"/>
      <c r="R1013" s="9"/>
      <c r="S1013" s="9"/>
      <c r="T1013" s="9"/>
      <c r="U1013" s="9"/>
      <c r="V1013" s="9"/>
      <c r="W1013" s="9"/>
      <c r="X1013" s="9"/>
      <c r="Y1013" s="9"/>
      <c r="Z1013" s="9"/>
      <c r="AA1013" s="9"/>
      <c r="AB1013" s="212"/>
      <c r="AC1013" s="9"/>
      <c r="AD1013" s="9"/>
      <c r="AE1013" s="10"/>
      <c r="AF1013" s="10"/>
      <c r="AG1013" s="10"/>
      <c r="AH1013" s="10"/>
      <c r="AI1013" s="10"/>
      <c r="AJ1013" s="10"/>
      <c r="AK1013" s="10"/>
      <c r="AL1013" s="10"/>
      <c r="AM1013" s="10"/>
    </row>
    <row r="1014" spans="1:39" ht="15.75" customHeight="1" x14ac:dyDescent="0.2">
      <c r="A1014" s="9"/>
      <c r="B1014" s="9"/>
      <c r="C1014" s="9"/>
      <c r="D1014" s="9"/>
      <c r="E1014" s="9"/>
      <c r="F1014" s="9"/>
      <c r="G1014" s="9"/>
      <c r="H1014" s="9"/>
      <c r="I1014" s="9"/>
      <c r="J1014" s="9"/>
      <c r="K1014" s="9"/>
      <c r="L1014" s="9"/>
      <c r="M1014" s="9"/>
      <c r="N1014" s="9"/>
      <c r="O1014" s="9"/>
      <c r="P1014" s="212"/>
      <c r="Q1014" s="9"/>
      <c r="R1014" s="9"/>
      <c r="S1014" s="9"/>
      <c r="T1014" s="9"/>
      <c r="U1014" s="9"/>
      <c r="V1014" s="9"/>
      <c r="W1014" s="9"/>
      <c r="X1014" s="9"/>
      <c r="Y1014" s="9"/>
      <c r="Z1014" s="9"/>
      <c r="AA1014" s="9"/>
      <c r="AB1014" s="212"/>
      <c r="AC1014" s="9"/>
      <c r="AD1014" s="9"/>
      <c r="AE1014" s="10"/>
      <c r="AF1014" s="10"/>
      <c r="AG1014" s="10"/>
      <c r="AH1014" s="10"/>
      <c r="AI1014" s="10"/>
      <c r="AJ1014" s="10"/>
      <c r="AK1014" s="10"/>
      <c r="AL1014" s="10"/>
      <c r="AM1014" s="10"/>
    </row>
    <row r="1015" spans="1:39" ht="15.75" customHeight="1" x14ac:dyDescent="0.2">
      <c r="A1015" s="9"/>
      <c r="B1015" s="9"/>
      <c r="C1015" s="9"/>
      <c r="D1015" s="9"/>
      <c r="E1015" s="9"/>
      <c r="F1015" s="9"/>
      <c r="G1015" s="9"/>
      <c r="H1015" s="9"/>
      <c r="I1015" s="9"/>
      <c r="J1015" s="9"/>
      <c r="K1015" s="9"/>
      <c r="L1015" s="9"/>
      <c r="M1015" s="9"/>
      <c r="N1015" s="9"/>
      <c r="O1015" s="9"/>
      <c r="P1015" s="212"/>
      <c r="Q1015" s="9"/>
      <c r="R1015" s="9"/>
      <c r="S1015" s="9"/>
      <c r="T1015" s="9"/>
      <c r="U1015" s="9"/>
      <c r="V1015" s="9"/>
      <c r="W1015" s="9"/>
      <c r="X1015" s="9"/>
      <c r="Y1015" s="9"/>
      <c r="Z1015" s="9"/>
      <c r="AA1015" s="9"/>
      <c r="AB1015" s="212"/>
      <c r="AC1015" s="9"/>
      <c r="AD1015" s="9"/>
      <c r="AE1015" s="10"/>
      <c r="AF1015" s="10"/>
      <c r="AG1015" s="10"/>
      <c r="AH1015" s="10"/>
      <c r="AI1015" s="10"/>
      <c r="AJ1015" s="10"/>
      <c r="AK1015" s="10"/>
      <c r="AL1015" s="10"/>
      <c r="AM1015" s="10"/>
    </row>
    <row r="1016" spans="1:39" ht="15.75" customHeight="1" x14ac:dyDescent="0.2">
      <c r="A1016" s="9"/>
      <c r="B1016" s="9"/>
      <c r="C1016" s="9"/>
      <c r="D1016" s="9"/>
      <c r="E1016" s="9"/>
      <c r="F1016" s="9"/>
      <c r="G1016" s="9"/>
      <c r="H1016" s="9"/>
      <c r="I1016" s="9"/>
      <c r="J1016" s="9"/>
      <c r="K1016" s="9"/>
      <c r="L1016" s="9"/>
      <c r="M1016" s="9"/>
      <c r="N1016" s="9"/>
      <c r="O1016" s="9"/>
      <c r="P1016" s="212"/>
      <c r="Q1016" s="9"/>
      <c r="R1016" s="9"/>
      <c r="S1016" s="9"/>
      <c r="T1016" s="9"/>
      <c r="U1016" s="9"/>
      <c r="V1016" s="9"/>
      <c r="W1016" s="9"/>
      <c r="X1016" s="9"/>
      <c r="Y1016" s="9"/>
      <c r="Z1016" s="9"/>
      <c r="AA1016" s="9"/>
      <c r="AB1016" s="212"/>
      <c r="AC1016" s="9"/>
      <c r="AD1016" s="9"/>
      <c r="AE1016" s="10"/>
      <c r="AF1016" s="10"/>
      <c r="AG1016" s="10"/>
      <c r="AH1016" s="10"/>
      <c r="AI1016" s="10"/>
      <c r="AJ1016" s="10"/>
      <c r="AK1016" s="10"/>
      <c r="AL1016" s="10"/>
      <c r="AM1016" s="10"/>
    </row>
    <row r="1017" spans="1:39" ht="15.75" customHeight="1" x14ac:dyDescent="0.2">
      <c r="A1017" s="9"/>
      <c r="B1017" s="9"/>
      <c r="C1017" s="9"/>
      <c r="D1017" s="9"/>
      <c r="E1017" s="9"/>
      <c r="F1017" s="9"/>
      <c r="G1017" s="9"/>
      <c r="H1017" s="9"/>
      <c r="I1017" s="9"/>
      <c r="J1017" s="9"/>
      <c r="K1017" s="9"/>
      <c r="L1017" s="9"/>
      <c r="M1017" s="9"/>
      <c r="N1017" s="9"/>
      <c r="O1017" s="9"/>
      <c r="P1017" s="212"/>
      <c r="Q1017" s="9"/>
      <c r="R1017" s="9"/>
      <c r="S1017" s="9"/>
      <c r="T1017" s="9"/>
      <c r="U1017" s="9"/>
      <c r="V1017" s="9"/>
      <c r="W1017" s="9"/>
      <c r="X1017" s="9"/>
      <c r="Y1017" s="9"/>
      <c r="Z1017" s="9"/>
      <c r="AA1017" s="9"/>
      <c r="AB1017" s="212"/>
      <c r="AC1017" s="9"/>
      <c r="AD1017" s="9"/>
      <c r="AE1017" s="10"/>
      <c r="AF1017" s="10"/>
      <c r="AG1017" s="10"/>
      <c r="AH1017" s="10"/>
      <c r="AI1017" s="10"/>
      <c r="AJ1017" s="10"/>
      <c r="AK1017" s="10"/>
      <c r="AL1017" s="10"/>
      <c r="AM1017" s="10"/>
    </row>
    <row r="1018" spans="1:39" ht="15.75" customHeight="1" x14ac:dyDescent="0.2">
      <c r="A1018" s="9"/>
      <c r="B1018" s="9"/>
      <c r="C1018" s="9"/>
      <c r="D1018" s="9"/>
      <c r="E1018" s="9"/>
      <c r="F1018" s="9"/>
      <c r="G1018" s="9"/>
      <c r="H1018" s="9"/>
      <c r="I1018" s="9"/>
      <c r="J1018" s="9"/>
      <c r="K1018" s="9"/>
      <c r="L1018" s="9"/>
      <c r="M1018" s="9"/>
      <c r="N1018" s="9"/>
      <c r="O1018" s="9"/>
      <c r="P1018" s="212"/>
      <c r="Q1018" s="9"/>
      <c r="R1018" s="9"/>
      <c r="S1018" s="9"/>
      <c r="T1018" s="9"/>
      <c r="U1018" s="9"/>
      <c r="V1018" s="9"/>
      <c r="W1018" s="9"/>
      <c r="X1018" s="9"/>
      <c r="Y1018" s="9"/>
      <c r="Z1018" s="9"/>
      <c r="AA1018" s="9"/>
      <c r="AB1018" s="212"/>
      <c r="AC1018" s="9"/>
      <c r="AD1018" s="9"/>
      <c r="AE1018" s="10"/>
      <c r="AF1018" s="10"/>
      <c r="AG1018" s="10"/>
      <c r="AH1018" s="10"/>
      <c r="AI1018" s="10"/>
      <c r="AJ1018" s="10"/>
      <c r="AK1018" s="10"/>
      <c r="AL1018" s="10"/>
      <c r="AM1018" s="10"/>
    </row>
    <row r="1019" spans="1:39" ht="15.75" customHeight="1" x14ac:dyDescent="0.2">
      <c r="A1019" s="9"/>
      <c r="B1019" s="9"/>
      <c r="C1019" s="9"/>
      <c r="D1019" s="9"/>
      <c r="E1019" s="9"/>
      <c r="F1019" s="9"/>
      <c r="G1019" s="9"/>
      <c r="H1019" s="9"/>
      <c r="I1019" s="9"/>
      <c r="J1019" s="9"/>
      <c r="K1019" s="9"/>
      <c r="L1019" s="9"/>
      <c r="M1019" s="9"/>
      <c r="N1019" s="9"/>
      <c r="O1019" s="9"/>
      <c r="P1019" s="212"/>
      <c r="Q1019" s="9"/>
      <c r="R1019" s="9"/>
      <c r="S1019" s="9"/>
      <c r="T1019" s="9"/>
      <c r="U1019" s="9"/>
      <c r="V1019" s="9"/>
      <c r="W1019" s="9"/>
      <c r="X1019" s="9"/>
      <c r="Y1019" s="9"/>
      <c r="Z1019" s="9"/>
      <c r="AA1019" s="9"/>
      <c r="AB1019" s="212"/>
      <c r="AC1019" s="9"/>
      <c r="AD1019" s="9"/>
      <c r="AE1019" s="10"/>
      <c r="AF1019" s="10"/>
      <c r="AG1019" s="10"/>
      <c r="AH1019" s="10"/>
      <c r="AI1019" s="10"/>
      <c r="AJ1019" s="10"/>
      <c r="AK1019" s="10"/>
      <c r="AL1019" s="10"/>
      <c r="AM1019" s="10"/>
    </row>
    <row r="1020" spans="1:39" ht="15.75" customHeight="1" x14ac:dyDescent="0.2">
      <c r="A1020" s="9"/>
      <c r="B1020" s="9"/>
      <c r="C1020" s="9"/>
      <c r="D1020" s="9"/>
      <c r="E1020" s="9"/>
      <c r="F1020" s="9"/>
      <c r="G1020" s="9"/>
      <c r="H1020" s="9"/>
      <c r="I1020" s="9"/>
      <c r="J1020" s="9"/>
      <c r="K1020" s="9"/>
      <c r="L1020" s="9"/>
      <c r="M1020" s="9"/>
      <c r="N1020" s="9"/>
      <c r="O1020" s="9"/>
      <c r="P1020" s="212"/>
      <c r="Q1020" s="9"/>
      <c r="R1020" s="9"/>
      <c r="S1020" s="9"/>
      <c r="T1020" s="9"/>
      <c r="U1020" s="9"/>
      <c r="V1020" s="9"/>
      <c r="W1020" s="9"/>
      <c r="X1020" s="9"/>
      <c r="Y1020" s="9"/>
      <c r="Z1020" s="9"/>
      <c r="AA1020" s="9"/>
      <c r="AB1020" s="212"/>
      <c r="AC1020" s="9"/>
      <c r="AD1020" s="9"/>
      <c r="AE1020" s="10"/>
      <c r="AF1020" s="10"/>
      <c r="AG1020" s="10"/>
      <c r="AH1020" s="10"/>
      <c r="AI1020" s="10"/>
      <c r="AJ1020" s="10"/>
      <c r="AK1020" s="10"/>
      <c r="AL1020" s="10"/>
      <c r="AM1020" s="10"/>
    </row>
    <row r="1021" spans="1:39" ht="15.75" customHeight="1" x14ac:dyDescent="0.2">
      <c r="A1021" s="9"/>
      <c r="B1021" s="9"/>
      <c r="C1021" s="9"/>
      <c r="D1021" s="9"/>
      <c r="E1021" s="9"/>
      <c r="F1021" s="9"/>
      <c r="G1021" s="9"/>
      <c r="H1021" s="9"/>
      <c r="I1021" s="9"/>
      <c r="J1021" s="9"/>
      <c r="K1021" s="9"/>
      <c r="L1021" s="9"/>
      <c r="M1021" s="9"/>
      <c r="N1021" s="9"/>
      <c r="O1021" s="9"/>
      <c r="P1021" s="212"/>
      <c r="Q1021" s="9"/>
      <c r="R1021" s="9"/>
      <c r="S1021" s="9"/>
      <c r="T1021" s="9"/>
      <c r="U1021" s="9"/>
      <c r="V1021" s="9"/>
      <c r="W1021" s="9"/>
      <c r="X1021" s="9"/>
      <c r="Y1021" s="9"/>
      <c r="Z1021" s="9"/>
      <c r="AA1021" s="9"/>
      <c r="AB1021" s="212"/>
      <c r="AC1021" s="9"/>
      <c r="AD1021" s="9"/>
      <c r="AE1021" s="10"/>
      <c r="AF1021" s="10"/>
      <c r="AG1021" s="10"/>
      <c r="AH1021" s="10"/>
      <c r="AI1021" s="10"/>
      <c r="AJ1021" s="10"/>
      <c r="AK1021" s="10"/>
      <c r="AL1021" s="10"/>
      <c r="AM1021" s="10"/>
    </row>
    <row r="1022" spans="1:39" ht="15.75" customHeight="1" x14ac:dyDescent="0.2">
      <c r="A1022" s="9"/>
      <c r="B1022" s="9"/>
      <c r="C1022" s="9"/>
      <c r="D1022" s="9"/>
      <c r="E1022" s="9"/>
      <c r="F1022" s="9"/>
      <c r="G1022" s="9"/>
      <c r="H1022" s="9"/>
      <c r="I1022" s="9"/>
      <c r="J1022" s="9"/>
      <c r="K1022" s="9"/>
      <c r="L1022" s="9"/>
      <c r="M1022" s="9"/>
      <c r="N1022" s="9"/>
      <c r="O1022" s="9"/>
      <c r="P1022" s="212"/>
      <c r="Q1022" s="9"/>
      <c r="R1022" s="9"/>
      <c r="S1022" s="9"/>
      <c r="T1022" s="9"/>
      <c r="U1022" s="9"/>
      <c r="V1022" s="9"/>
      <c r="W1022" s="9"/>
      <c r="X1022" s="9"/>
      <c r="Y1022" s="9"/>
      <c r="Z1022" s="9"/>
      <c r="AA1022" s="9"/>
      <c r="AB1022" s="212"/>
      <c r="AC1022" s="9"/>
      <c r="AD1022" s="9"/>
      <c r="AE1022" s="10"/>
      <c r="AF1022" s="10"/>
      <c r="AG1022" s="10"/>
      <c r="AH1022" s="10"/>
      <c r="AI1022" s="10"/>
      <c r="AJ1022" s="10"/>
      <c r="AK1022" s="10"/>
      <c r="AL1022" s="10"/>
      <c r="AM1022" s="10"/>
    </row>
    <row r="1023" spans="1:39" ht="15.75" customHeight="1" x14ac:dyDescent="0.2">
      <c r="A1023" s="9"/>
      <c r="B1023" s="9"/>
      <c r="C1023" s="9"/>
      <c r="D1023" s="9"/>
      <c r="E1023" s="9"/>
      <c r="F1023" s="9"/>
      <c r="G1023" s="9"/>
      <c r="H1023" s="9"/>
      <c r="I1023" s="9"/>
      <c r="J1023" s="9"/>
      <c r="K1023" s="9"/>
      <c r="L1023" s="9"/>
      <c r="M1023" s="9"/>
      <c r="N1023" s="9"/>
      <c r="O1023" s="9"/>
      <c r="P1023" s="212"/>
      <c r="Q1023" s="9"/>
      <c r="R1023" s="9"/>
      <c r="S1023" s="9"/>
      <c r="T1023" s="9"/>
      <c r="U1023" s="9"/>
      <c r="V1023" s="9"/>
      <c r="W1023" s="9"/>
      <c r="X1023" s="9"/>
      <c r="Y1023" s="9"/>
      <c r="Z1023" s="9"/>
      <c r="AA1023" s="9"/>
      <c r="AB1023" s="212"/>
      <c r="AC1023" s="9"/>
      <c r="AD1023" s="9"/>
      <c r="AE1023" s="10"/>
      <c r="AF1023" s="10"/>
      <c r="AG1023" s="10"/>
      <c r="AH1023" s="10"/>
      <c r="AI1023" s="10"/>
      <c r="AJ1023" s="10"/>
      <c r="AK1023" s="10"/>
      <c r="AL1023" s="10"/>
      <c r="AM1023" s="10"/>
    </row>
    <row r="1024" spans="1:39" ht="15.75" customHeight="1" x14ac:dyDescent="0.2">
      <c r="A1024" s="9"/>
      <c r="B1024" s="9"/>
      <c r="C1024" s="9"/>
      <c r="D1024" s="9"/>
      <c r="E1024" s="9"/>
      <c r="F1024" s="9"/>
      <c r="G1024" s="9"/>
      <c r="H1024" s="9"/>
      <c r="I1024" s="9"/>
      <c r="J1024" s="9"/>
      <c r="K1024" s="9"/>
      <c r="L1024" s="9"/>
      <c r="M1024" s="9"/>
      <c r="N1024" s="9"/>
      <c r="O1024" s="9"/>
      <c r="P1024" s="212"/>
      <c r="Q1024" s="9"/>
      <c r="R1024" s="9"/>
      <c r="S1024" s="9"/>
      <c r="T1024" s="9"/>
      <c r="U1024" s="9"/>
      <c r="V1024" s="9"/>
      <c r="W1024" s="9"/>
      <c r="X1024" s="9"/>
      <c r="Y1024" s="9"/>
      <c r="Z1024" s="9"/>
      <c r="AA1024" s="9"/>
      <c r="AB1024" s="212"/>
      <c r="AC1024" s="9"/>
      <c r="AD1024" s="9"/>
      <c r="AE1024" s="10"/>
      <c r="AF1024" s="10"/>
      <c r="AG1024" s="10"/>
      <c r="AH1024" s="10"/>
      <c r="AI1024" s="10"/>
      <c r="AJ1024" s="10"/>
      <c r="AK1024" s="10"/>
      <c r="AL1024" s="10"/>
      <c r="AM1024" s="10"/>
    </row>
    <row r="1025" spans="1:39" ht="15.75" customHeight="1" x14ac:dyDescent="0.2">
      <c r="A1025" s="9"/>
      <c r="B1025" s="9"/>
      <c r="C1025" s="9"/>
      <c r="D1025" s="9"/>
      <c r="E1025" s="9"/>
      <c r="F1025" s="9"/>
      <c r="G1025" s="9"/>
      <c r="H1025" s="9"/>
      <c r="I1025" s="9"/>
      <c r="J1025" s="9"/>
      <c r="K1025" s="9"/>
      <c r="L1025" s="9"/>
      <c r="M1025" s="9"/>
      <c r="N1025" s="9"/>
      <c r="O1025" s="9"/>
      <c r="P1025" s="212"/>
      <c r="Q1025" s="9"/>
      <c r="R1025" s="9"/>
      <c r="S1025" s="9"/>
      <c r="T1025" s="9"/>
      <c r="U1025" s="9"/>
      <c r="V1025" s="9"/>
      <c r="W1025" s="9"/>
      <c r="X1025" s="9"/>
      <c r="Y1025" s="9"/>
      <c r="Z1025" s="9"/>
      <c r="AA1025" s="9"/>
      <c r="AB1025" s="212"/>
      <c r="AC1025" s="9"/>
      <c r="AD1025" s="9"/>
      <c r="AE1025" s="10"/>
      <c r="AF1025" s="10"/>
      <c r="AG1025" s="10"/>
      <c r="AH1025" s="10"/>
      <c r="AI1025" s="10"/>
      <c r="AJ1025" s="10"/>
      <c r="AK1025" s="10"/>
      <c r="AL1025" s="10"/>
      <c r="AM1025" s="10"/>
    </row>
    <row r="1026" spans="1:39" ht="15.75" customHeight="1" x14ac:dyDescent="0.2">
      <c r="A1026" s="9"/>
      <c r="B1026" s="9"/>
      <c r="C1026" s="9"/>
      <c r="D1026" s="9"/>
      <c r="E1026" s="9"/>
      <c r="F1026" s="9"/>
      <c r="G1026" s="9"/>
      <c r="H1026" s="9"/>
      <c r="I1026" s="9"/>
      <c r="J1026" s="9"/>
      <c r="K1026" s="9"/>
      <c r="L1026" s="9"/>
      <c r="M1026" s="9"/>
      <c r="N1026" s="9"/>
      <c r="O1026" s="9"/>
      <c r="P1026" s="212"/>
      <c r="Q1026" s="9"/>
      <c r="R1026" s="9"/>
      <c r="S1026" s="9"/>
      <c r="T1026" s="9"/>
      <c r="U1026" s="9"/>
      <c r="V1026" s="9"/>
      <c r="W1026" s="9"/>
      <c r="X1026" s="9"/>
      <c r="Y1026" s="9"/>
      <c r="Z1026" s="9"/>
      <c r="AA1026" s="9"/>
      <c r="AB1026" s="212"/>
      <c r="AC1026" s="9"/>
      <c r="AD1026" s="9"/>
      <c r="AE1026" s="10"/>
      <c r="AF1026" s="10"/>
      <c r="AG1026" s="10"/>
      <c r="AH1026" s="10"/>
      <c r="AI1026" s="10"/>
      <c r="AJ1026" s="10"/>
      <c r="AK1026" s="10"/>
      <c r="AL1026" s="10"/>
      <c r="AM1026" s="10"/>
    </row>
    <row r="1027" spans="1:39" ht="15.75" customHeight="1" x14ac:dyDescent="0.2">
      <c r="A1027" s="9"/>
      <c r="B1027" s="9"/>
      <c r="C1027" s="9"/>
      <c r="D1027" s="9"/>
      <c r="E1027" s="9"/>
      <c r="F1027" s="9"/>
      <c r="G1027" s="9"/>
      <c r="H1027" s="9"/>
      <c r="I1027" s="9"/>
      <c r="J1027" s="9"/>
      <c r="K1027" s="9"/>
      <c r="L1027" s="9"/>
      <c r="M1027" s="9"/>
      <c r="N1027" s="9"/>
      <c r="O1027" s="9"/>
      <c r="P1027" s="212"/>
      <c r="Q1027" s="9"/>
      <c r="R1027" s="9"/>
      <c r="S1027" s="9"/>
      <c r="T1027" s="9"/>
      <c r="U1027" s="9"/>
      <c r="V1027" s="9"/>
      <c r="W1027" s="9"/>
      <c r="X1027" s="9"/>
      <c r="Y1027" s="9"/>
      <c r="Z1027" s="9"/>
      <c r="AA1027" s="9"/>
      <c r="AB1027" s="212"/>
      <c r="AC1027" s="9"/>
      <c r="AD1027" s="9"/>
      <c r="AE1027" s="10"/>
      <c r="AF1027" s="10"/>
      <c r="AG1027" s="10"/>
      <c r="AH1027" s="10"/>
      <c r="AI1027" s="10"/>
      <c r="AJ1027" s="10"/>
      <c r="AK1027" s="10"/>
      <c r="AL1027" s="10"/>
      <c r="AM1027" s="10"/>
    </row>
    <row r="1028" spans="1:39" ht="15.75" customHeight="1" x14ac:dyDescent="0.2">
      <c r="A1028" s="9"/>
      <c r="B1028" s="9"/>
      <c r="C1028" s="9"/>
      <c r="D1028" s="9"/>
      <c r="E1028" s="9"/>
      <c r="F1028" s="9"/>
      <c r="G1028" s="9"/>
      <c r="H1028" s="9"/>
      <c r="I1028" s="9"/>
      <c r="J1028" s="9"/>
      <c r="K1028" s="9"/>
      <c r="L1028" s="9"/>
      <c r="M1028" s="9"/>
      <c r="N1028" s="9"/>
      <c r="O1028" s="9"/>
      <c r="P1028" s="212"/>
      <c r="Q1028" s="9"/>
      <c r="R1028" s="9"/>
      <c r="S1028" s="9"/>
      <c r="T1028" s="9"/>
      <c r="U1028" s="9"/>
      <c r="V1028" s="9"/>
      <c r="W1028" s="9"/>
      <c r="X1028" s="9"/>
      <c r="Y1028" s="9"/>
      <c r="Z1028" s="9"/>
      <c r="AA1028" s="9"/>
      <c r="AB1028" s="212"/>
      <c r="AC1028" s="9"/>
      <c r="AD1028" s="9"/>
      <c r="AE1028" s="10"/>
      <c r="AF1028" s="10"/>
      <c r="AG1028" s="10"/>
      <c r="AH1028" s="10"/>
      <c r="AI1028" s="10"/>
      <c r="AJ1028" s="10"/>
      <c r="AK1028" s="10"/>
      <c r="AL1028" s="10"/>
      <c r="AM1028" s="10"/>
    </row>
    <row r="1029" spans="1:39" ht="15.75" customHeight="1" x14ac:dyDescent="0.2">
      <c r="A1029" s="9"/>
      <c r="B1029" s="9"/>
      <c r="C1029" s="9"/>
      <c r="D1029" s="9"/>
      <c r="E1029" s="9"/>
      <c r="F1029" s="9"/>
      <c r="G1029" s="9"/>
      <c r="H1029" s="9"/>
      <c r="I1029" s="9"/>
      <c r="J1029" s="9"/>
      <c r="K1029" s="9"/>
      <c r="L1029" s="9"/>
      <c r="M1029" s="9"/>
      <c r="N1029" s="9"/>
      <c r="O1029" s="9"/>
      <c r="P1029" s="212"/>
      <c r="Q1029" s="9"/>
      <c r="R1029" s="9"/>
      <c r="S1029" s="9"/>
      <c r="T1029" s="9"/>
      <c r="U1029" s="9"/>
      <c r="V1029" s="9"/>
      <c r="W1029" s="9"/>
      <c r="X1029" s="9"/>
      <c r="Y1029" s="9"/>
      <c r="Z1029" s="9"/>
      <c r="AA1029" s="9"/>
      <c r="AB1029" s="212"/>
      <c r="AC1029" s="9"/>
      <c r="AD1029" s="9"/>
      <c r="AE1029" s="10"/>
      <c r="AF1029" s="10"/>
      <c r="AG1029" s="10"/>
      <c r="AH1029" s="10"/>
      <c r="AI1029" s="10"/>
      <c r="AJ1029" s="10"/>
      <c r="AK1029" s="10"/>
      <c r="AL1029" s="10"/>
      <c r="AM1029" s="10"/>
    </row>
    <row r="1030" spans="1:39" ht="15.75" customHeight="1" x14ac:dyDescent="0.2">
      <c r="A1030" s="9"/>
      <c r="B1030" s="9"/>
      <c r="C1030" s="9"/>
      <c r="D1030" s="9"/>
      <c r="E1030" s="9"/>
      <c r="F1030" s="9"/>
      <c r="G1030" s="9"/>
      <c r="H1030" s="9"/>
      <c r="I1030" s="9"/>
      <c r="J1030" s="9"/>
      <c r="K1030" s="9"/>
      <c r="L1030" s="9"/>
      <c r="M1030" s="9"/>
      <c r="N1030" s="9"/>
      <c r="O1030" s="9"/>
      <c r="P1030" s="212"/>
      <c r="Q1030" s="9"/>
      <c r="R1030" s="9"/>
      <c r="S1030" s="9"/>
      <c r="T1030" s="9"/>
      <c r="U1030" s="9"/>
      <c r="V1030" s="9"/>
      <c r="W1030" s="9"/>
      <c r="X1030" s="9"/>
      <c r="Y1030" s="9"/>
      <c r="Z1030" s="9"/>
      <c r="AA1030" s="9"/>
      <c r="AB1030" s="212"/>
      <c r="AC1030" s="9"/>
      <c r="AD1030" s="9"/>
      <c r="AE1030" s="10"/>
      <c r="AF1030" s="10"/>
      <c r="AG1030" s="10"/>
      <c r="AH1030" s="10"/>
      <c r="AI1030" s="10"/>
      <c r="AJ1030" s="10"/>
      <c r="AK1030" s="10"/>
      <c r="AL1030" s="10"/>
      <c r="AM1030" s="10"/>
    </row>
    <row r="1031" spans="1:39" ht="15.75" customHeight="1" x14ac:dyDescent="0.2">
      <c r="A1031" s="9"/>
      <c r="B1031" s="9"/>
      <c r="C1031" s="9"/>
      <c r="D1031" s="9"/>
      <c r="E1031" s="9"/>
      <c r="F1031" s="9"/>
      <c r="G1031" s="9"/>
      <c r="H1031" s="9"/>
      <c r="I1031" s="9"/>
      <c r="J1031" s="9"/>
      <c r="K1031" s="9"/>
      <c r="L1031" s="9"/>
      <c r="M1031" s="9"/>
      <c r="N1031" s="9"/>
      <c r="O1031" s="9"/>
      <c r="P1031" s="212"/>
      <c r="Q1031" s="9"/>
      <c r="R1031" s="9"/>
      <c r="S1031" s="9"/>
      <c r="T1031" s="9"/>
      <c r="U1031" s="9"/>
      <c r="V1031" s="9"/>
      <c r="W1031" s="9"/>
      <c r="X1031" s="9"/>
      <c r="Y1031" s="9"/>
      <c r="Z1031" s="9"/>
      <c r="AA1031" s="9"/>
      <c r="AB1031" s="212"/>
      <c r="AC1031" s="9"/>
      <c r="AD1031" s="9"/>
      <c r="AE1031" s="10"/>
      <c r="AF1031" s="10"/>
      <c r="AG1031" s="10"/>
      <c r="AH1031" s="10"/>
      <c r="AI1031" s="10"/>
      <c r="AJ1031" s="10"/>
      <c r="AK1031" s="10"/>
      <c r="AL1031" s="10"/>
      <c r="AM1031" s="10"/>
    </row>
    <row r="1032" spans="1:39" ht="15.75" customHeight="1" x14ac:dyDescent="0.2">
      <c r="A1032" s="9"/>
      <c r="B1032" s="9"/>
      <c r="C1032" s="9"/>
      <c r="D1032" s="9"/>
      <c r="E1032" s="9"/>
      <c r="F1032" s="9"/>
      <c r="G1032" s="9"/>
      <c r="H1032" s="9"/>
      <c r="I1032" s="9"/>
      <c r="J1032" s="9"/>
      <c r="K1032" s="9"/>
      <c r="L1032" s="9"/>
      <c r="M1032" s="9"/>
      <c r="N1032" s="9"/>
      <c r="O1032" s="9"/>
      <c r="P1032" s="212"/>
      <c r="Q1032" s="9"/>
      <c r="R1032" s="9"/>
      <c r="S1032" s="9"/>
      <c r="T1032" s="9"/>
      <c r="U1032" s="9"/>
      <c r="V1032" s="9"/>
      <c r="W1032" s="9"/>
      <c r="X1032" s="9"/>
      <c r="Y1032" s="9"/>
      <c r="Z1032" s="9"/>
      <c r="AA1032" s="9"/>
      <c r="AB1032" s="212"/>
      <c r="AC1032" s="9"/>
      <c r="AD1032" s="9"/>
      <c r="AE1032" s="10"/>
      <c r="AF1032" s="10"/>
      <c r="AG1032" s="10"/>
      <c r="AH1032" s="10"/>
      <c r="AI1032" s="10"/>
      <c r="AJ1032" s="10"/>
      <c r="AK1032" s="10"/>
      <c r="AL1032" s="10"/>
      <c r="AM1032" s="10"/>
    </row>
    <row r="1033" spans="1:39" ht="15.75" customHeight="1" x14ac:dyDescent="0.2">
      <c r="A1033" s="9"/>
      <c r="B1033" s="9"/>
      <c r="C1033" s="9"/>
      <c r="D1033" s="9"/>
      <c r="E1033" s="9"/>
      <c r="F1033" s="9"/>
      <c r="G1033" s="9"/>
      <c r="H1033" s="9"/>
      <c r="I1033" s="9"/>
      <c r="J1033" s="9"/>
      <c r="K1033" s="9"/>
      <c r="L1033" s="9"/>
      <c r="M1033" s="9"/>
      <c r="N1033" s="9"/>
      <c r="O1033" s="9"/>
      <c r="P1033" s="212"/>
      <c r="Q1033" s="9"/>
      <c r="R1033" s="9"/>
      <c r="S1033" s="9"/>
      <c r="T1033" s="9"/>
      <c r="U1033" s="9"/>
      <c r="V1033" s="9"/>
      <c r="W1033" s="9"/>
      <c r="X1033" s="9"/>
      <c r="Y1033" s="9"/>
      <c r="Z1033" s="9"/>
      <c r="AA1033" s="9"/>
      <c r="AB1033" s="212"/>
      <c r="AC1033" s="9"/>
      <c r="AD1033" s="9"/>
      <c r="AE1033" s="10"/>
      <c r="AF1033" s="10"/>
      <c r="AG1033" s="10"/>
      <c r="AH1033" s="10"/>
      <c r="AI1033" s="10"/>
      <c r="AJ1033" s="10"/>
      <c r="AK1033" s="10"/>
      <c r="AL1033" s="10"/>
      <c r="AM1033" s="10"/>
    </row>
    <row r="1034" spans="1:39" ht="15.75" customHeight="1" x14ac:dyDescent="0.2">
      <c r="A1034" s="9"/>
      <c r="B1034" s="9"/>
      <c r="C1034" s="9"/>
      <c r="D1034" s="9"/>
      <c r="E1034" s="9"/>
      <c r="F1034" s="9"/>
      <c r="G1034" s="9"/>
      <c r="H1034" s="9"/>
      <c r="I1034" s="9"/>
      <c r="J1034" s="9"/>
      <c r="K1034" s="9"/>
      <c r="L1034" s="9"/>
      <c r="M1034" s="9"/>
      <c r="N1034" s="9"/>
      <c r="O1034" s="9"/>
      <c r="P1034" s="212"/>
      <c r="Q1034" s="9"/>
      <c r="R1034" s="9"/>
      <c r="S1034" s="9"/>
      <c r="T1034" s="9"/>
      <c r="U1034" s="9"/>
      <c r="V1034" s="9"/>
      <c r="W1034" s="9"/>
      <c r="X1034" s="9"/>
      <c r="Y1034" s="9"/>
      <c r="Z1034" s="9"/>
      <c r="AA1034" s="9"/>
      <c r="AB1034" s="212"/>
      <c r="AC1034" s="9"/>
      <c r="AD1034" s="9"/>
      <c r="AE1034" s="10"/>
      <c r="AF1034" s="10"/>
      <c r="AG1034" s="10"/>
      <c r="AH1034" s="10"/>
      <c r="AI1034" s="10"/>
      <c r="AJ1034" s="10"/>
      <c r="AK1034" s="10"/>
      <c r="AL1034" s="10"/>
      <c r="AM1034" s="10"/>
    </row>
    <row r="1035" spans="1:39" ht="15.75" customHeight="1" x14ac:dyDescent="0.2">
      <c r="A1035" s="9"/>
      <c r="B1035" s="9"/>
      <c r="C1035" s="9"/>
      <c r="D1035" s="9"/>
      <c r="E1035" s="9"/>
      <c r="F1035" s="9"/>
      <c r="G1035" s="9"/>
      <c r="H1035" s="9"/>
      <c r="I1035" s="9"/>
      <c r="J1035" s="9"/>
      <c r="K1035" s="9"/>
      <c r="L1035" s="9"/>
      <c r="M1035" s="9"/>
      <c r="N1035" s="9"/>
      <c r="O1035" s="9"/>
      <c r="P1035" s="212"/>
      <c r="Q1035" s="9"/>
      <c r="R1035" s="9"/>
      <c r="S1035" s="9"/>
      <c r="T1035" s="9"/>
      <c r="U1035" s="9"/>
      <c r="V1035" s="9"/>
      <c r="W1035" s="9"/>
      <c r="X1035" s="9"/>
      <c r="Y1035" s="9"/>
      <c r="Z1035" s="9"/>
      <c r="AA1035" s="9"/>
      <c r="AB1035" s="212"/>
      <c r="AC1035" s="9"/>
      <c r="AD1035" s="9"/>
      <c r="AE1035" s="10"/>
      <c r="AF1035" s="10"/>
      <c r="AG1035" s="10"/>
      <c r="AH1035" s="10"/>
      <c r="AI1035" s="10"/>
      <c r="AJ1035" s="10"/>
      <c r="AK1035" s="10"/>
      <c r="AL1035" s="10"/>
      <c r="AM1035" s="10"/>
    </row>
    <row r="1036" spans="1:39" ht="15.75" customHeight="1" x14ac:dyDescent="0.2">
      <c r="A1036" s="9"/>
      <c r="B1036" s="9"/>
      <c r="C1036" s="9"/>
      <c r="D1036" s="9"/>
      <c r="E1036" s="9"/>
      <c r="F1036" s="9"/>
      <c r="G1036" s="9"/>
      <c r="H1036" s="9"/>
      <c r="I1036" s="9"/>
      <c r="J1036" s="9"/>
      <c r="K1036" s="9"/>
      <c r="L1036" s="9"/>
      <c r="M1036" s="9"/>
      <c r="N1036" s="9"/>
      <c r="O1036" s="9"/>
      <c r="P1036" s="212"/>
      <c r="Q1036" s="9"/>
      <c r="R1036" s="9"/>
      <c r="S1036" s="9"/>
      <c r="T1036" s="9"/>
      <c r="U1036" s="9"/>
      <c r="V1036" s="9"/>
      <c r="W1036" s="9"/>
      <c r="X1036" s="9"/>
      <c r="Y1036" s="9"/>
      <c r="Z1036" s="9"/>
      <c r="AA1036" s="9"/>
      <c r="AB1036" s="212"/>
      <c r="AC1036" s="9"/>
      <c r="AD1036" s="9"/>
      <c r="AE1036" s="10"/>
      <c r="AF1036" s="10"/>
      <c r="AG1036" s="10"/>
      <c r="AH1036" s="10"/>
      <c r="AI1036" s="10"/>
      <c r="AJ1036" s="10"/>
      <c r="AK1036" s="10"/>
      <c r="AL1036" s="10"/>
      <c r="AM1036" s="10"/>
    </row>
    <row r="1037" spans="1:39" ht="15.75" customHeight="1" x14ac:dyDescent="0.2">
      <c r="A1037" s="9"/>
      <c r="B1037" s="9"/>
      <c r="C1037" s="9"/>
      <c r="D1037" s="9"/>
      <c r="E1037" s="9"/>
      <c r="F1037" s="9"/>
      <c r="G1037" s="9"/>
      <c r="H1037" s="9"/>
      <c r="I1037" s="9"/>
      <c r="J1037" s="9"/>
      <c r="K1037" s="9"/>
      <c r="L1037" s="9"/>
      <c r="M1037" s="9"/>
      <c r="N1037" s="9"/>
      <c r="O1037" s="9"/>
      <c r="P1037" s="212"/>
      <c r="Q1037" s="9"/>
      <c r="R1037" s="9"/>
      <c r="S1037" s="9"/>
      <c r="T1037" s="9"/>
      <c r="U1037" s="9"/>
      <c r="V1037" s="9"/>
      <c r="W1037" s="9"/>
      <c r="X1037" s="9"/>
      <c r="Y1037" s="9"/>
      <c r="Z1037" s="9"/>
      <c r="AA1037" s="9"/>
      <c r="AB1037" s="212"/>
      <c r="AC1037" s="9"/>
      <c r="AD1037" s="9"/>
      <c r="AE1037" s="10"/>
      <c r="AF1037" s="10"/>
      <c r="AG1037" s="10"/>
      <c r="AH1037" s="10"/>
      <c r="AI1037" s="10"/>
      <c r="AJ1037" s="10"/>
      <c r="AK1037" s="10"/>
      <c r="AL1037" s="10"/>
      <c r="AM1037" s="10"/>
    </row>
    <row r="1038" spans="1:39" ht="15.75" customHeight="1" x14ac:dyDescent="0.2">
      <c r="A1038" s="9"/>
      <c r="B1038" s="9"/>
      <c r="C1038" s="9"/>
      <c r="D1038" s="9"/>
      <c r="E1038" s="9"/>
      <c r="F1038" s="9"/>
      <c r="G1038" s="9"/>
      <c r="H1038" s="9"/>
      <c r="I1038" s="9"/>
      <c r="J1038" s="9"/>
      <c r="K1038" s="9"/>
      <c r="L1038" s="9"/>
      <c r="M1038" s="9"/>
      <c r="N1038" s="9"/>
      <c r="O1038" s="9"/>
      <c r="P1038" s="212"/>
      <c r="Q1038" s="9"/>
      <c r="R1038" s="9"/>
      <c r="S1038" s="9"/>
      <c r="T1038" s="9"/>
      <c r="U1038" s="9"/>
      <c r="V1038" s="9"/>
      <c r="W1038" s="9"/>
      <c r="X1038" s="9"/>
      <c r="Y1038" s="9"/>
      <c r="Z1038" s="9"/>
      <c r="AA1038" s="9"/>
      <c r="AB1038" s="212"/>
      <c r="AC1038" s="9"/>
      <c r="AD1038" s="9"/>
      <c r="AE1038" s="10"/>
      <c r="AF1038" s="10"/>
      <c r="AG1038" s="10"/>
      <c r="AH1038" s="10"/>
      <c r="AI1038" s="10"/>
      <c r="AJ1038" s="10"/>
      <c r="AK1038" s="10"/>
      <c r="AL1038" s="10"/>
      <c r="AM1038" s="10"/>
    </row>
    <row r="1039" spans="1:39" ht="15.75" customHeight="1" x14ac:dyDescent="0.2">
      <c r="A1039" s="9"/>
      <c r="B1039" s="9"/>
      <c r="C1039" s="9"/>
      <c r="D1039" s="9"/>
      <c r="E1039" s="9"/>
      <c r="F1039" s="9"/>
      <c r="G1039" s="9"/>
      <c r="H1039" s="9"/>
      <c r="I1039" s="9"/>
      <c r="J1039" s="9"/>
      <c r="K1039" s="9"/>
      <c r="L1039" s="9"/>
      <c r="M1039" s="9"/>
      <c r="N1039" s="9"/>
      <c r="O1039" s="9"/>
      <c r="P1039" s="212"/>
      <c r="Q1039" s="9"/>
      <c r="R1039" s="9"/>
      <c r="S1039" s="9"/>
      <c r="T1039" s="9"/>
      <c r="U1039" s="9"/>
      <c r="V1039" s="9"/>
      <c r="W1039" s="9"/>
      <c r="X1039" s="9"/>
      <c r="Y1039" s="9"/>
      <c r="Z1039" s="9"/>
      <c r="AA1039" s="9"/>
      <c r="AB1039" s="212"/>
      <c r="AC1039" s="9"/>
      <c r="AD1039" s="9"/>
      <c r="AE1039" s="10"/>
      <c r="AF1039" s="10"/>
      <c r="AG1039" s="10"/>
      <c r="AH1039" s="10"/>
      <c r="AI1039" s="10"/>
      <c r="AJ1039" s="10"/>
      <c r="AK1039" s="10"/>
      <c r="AL1039" s="10"/>
      <c r="AM1039" s="10"/>
    </row>
    <row r="1040" spans="1:39" ht="15.75" customHeight="1" x14ac:dyDescent="0.2">
      <c r="A1040" s="9"/>
      <c r="B1040" s="9"/>
      <c r="C1040" s="9"/>
      <c r="D1040" s="9"/>
      <c r="E1040" s="9"/>
      <c r="F1040" s="9"/>
      <c r="G1040" s="9"/>
      <c r="H1040" s="9"/>
      <c r="I1040" s="9"/>
      <c r="J1040" s="9"/>
      <c r="K1040" s="9"/>
      <c r="L1040" s="9"/>
      <c r="M1040" s="9"/>
      <c r="N1040" s="9"/>
      <c r="O1040" s="9"/>
      <c r="P1040" s="212"/>
      <c r="Q1040" s="9"/>
      <c r="R1040" s="9"/>
      <c r="S1040" s="9"/>
      <c r="T1040" s="9"/>
      <c r="U1040" s="9"/>
      <c r="V1040" s="9"/>
      <c r="W1040" s="9"/>
      <c r="X1040" s="9"/>
      <c r="Y1040" s="9"/>
      <c r="Z1040" s="9"/>
      <c r="AA1040" s="9"/>
      <c r="AB1040" s="212"/>
      <c r="AC1040" s="9"/>
      <c r="AD1040" s="9"/>
      <c r="AE1040" s="10"/>
      <c r="AF1040" s="10"/>
      <c r="AG1040" s="10"/>
      <c r="AH1040" s="10"/>
      <c r="AI1040" s="10"/>
      <c r="AJ1040" s="10"/>
      <c r="AK1040" s="10"/>
      <c r="AL1040" s="10"/>
      <c r="AM1040" s="10"/>
    </row>
    <row r="1041" spans="1:39" ht="15.75" customHeight="1" x14ac:dyDescent="0.2">
      <c r="A1041" s="9"/>
      <c r="B1041" s="9"/>
      <c r="C1041" s="9"/>
      <c r="D1041" s="9"/>
      <c r="E1041" s="9"/>
      <c r="F1041" s="9"/>
      <c r="G1041" s="9"/>
      <c r="H1041" s="9"/>
      <c r="I1041" s="9"/>
      <c r="J1041" s="9"/>
      <c r="K1041" s="9"/>
      <c r="L1041" s="9"/>
      <c r="M1041" s="9"/>
      <c r="N1041" s="9"/>
      <c r="O1041" s="9"/>
      <c r="P1041" s="212"/>
      <c r="Q1041" s="9"/>
      <c r="R1041" s="9"/>
      <c r="S1041" s="9"/>
      <c r="T1041" s="9"/>
      <c r="U1041" s="9"/>
      <c r="V1041" s="9"/>
      <c r="W1041" s="9"/>
      <c r="X1041" s="9"/>
      <c r="Y1041" s="9"/>
      <c r="Z1041" s="9"/>
      <c r="AA1041" s="9"/>
      <c r="AB1041" s="212"/>
      <c r="AC1041" s="9"/>
      <c r="AD1041" s="9"/>
      <c r="AE1041" s="10"/>
      <c r="AF1041" s="10"/>
      <c r="AG1041" s="10"/>
      <c r="AH1041" s="10"/>
      <c r="AI1041" s="10"/>
      <c r="AJ1041" s="10"/>
      <c r="AK1041" s="10"/>
      <c r="AL1041" s="10"/>
      <c r="AM1041" s="10"/>
    </row>
    <row r="1042" spans="1:39" ht="15.75" customHeight="1" x14ac:dyDescent="0.2">
      <c r="A1042" s="9"/>
      <c r="B1042" s="9"/>
      <c r="C1042" s="9"/>
      <c r="D1042" s="9"/>
      <c r="E1042" s="9"/>
      <c r="F1042" s="9"/>
      <c r="G1042" s="9"/>
      <c r="H1042" s="9"/>
      <c r="I1042" s="9"/>
      <c r="J1042" s="9"/>
      <c r="K1042" s="9"/>
      <c r="L1042" s="9"/>
      <c r="M1042" s="9"/>
      <c r="N1042" s="9"/>
      <c r="O1042" s="9"/>
      <c r="P1042" s="212"/>
      <c r="Q1042" s="9"/>
      <c r="R1042" s="9"/>
      <c r="S1042" s="9"/>
      <c r="T1042" s="9"/>
      <c r="U1042" s="9"/>
      <c r="V1042" s="9"/>
      <c r="W1042" s="9"/>
      <c r="X1042" s="9"/>
      <c r="Y1042" s="9"/>
      <c r="Z1042" s="9"/>
      <c r="AA1042" s="9"/>
      <c r="AB1042" s="212"/>
      <c r="AC1042" s="9"/>
      <c r="AD1042" s="9"/>
      <c r="AE1042" s="10"/>
      <c r="AF1042" s="10"/>
      <c r="AG1042" s="10"/>
      <c r="AH1042" s="10"/>
      <c r="AI1042" s="10"/>
      <c r="AJ1042" s="10"/>
      <c r="AK1042" s="10"/>
      <c r="AL1042" s="10"/>
      <c r="AM1042" s="10"/>
    </row>
    <row r="1043" spans="1:39" ht="15.75" customHeight="1" x14ac:dyDescent="0.2">
      <c r="A1043" s="9"/>
      <c r="B1043" s="9"/>
      <c r="C1043" s="9"/>
      <c r="D1043" s="9"/>
      <c r="E1043" s="9"/>
      <c r="F1043" s="9"/>
      <c r="G1043" s="9"/>
      <c r="H1043" s="9"/>
      <c r="I1043" s="9"/>
      <c r="J1043" s="9"/>
      <c r="K1043" s="9"/>
      <c r="L1043" s="9"/>
      <c r="M1043" s="9"/>
      <c r="N1043" s="9"/>
      <c r="O1043" s="9"/>
      <c r="P1043" s="212"/>
      <c r="Q1043" s="9"/>
      <c r="R1043" s="9"/>
      <c r="S1043" s="9"/>
      <c r="T1043" s="9"/>
      <c r="U1043" s="9"/>
      <c r="V1043" s="9"/>
      <c r="W1043" s="9"/>
      <c r="X1043" s="9"/>
      <c r="Y1043" s="9"/>
      <c r="Z1043" s="9"/>
      <c r="AA1043" s="9"/>
      <c r="AB1043" s="212"/>
      <c r="AC1043" s="9"/>
      <c r="AD1043" s="9"/>
      <c r="AE1043" s="10"/>
      <c r="AF1043" s="10"/>
      <c r="AG1043" s="10"/>
      <c r="AH1043" s="10"/>
      <c r="AI1043" s="10"/>
      <c r="AJ1043" s="10"/>
      <c r="AK1043" s="10"/>
      <c r="AL1043" s="10"/>
      <c r="AM1043" s="10"/>
    </row>
    <row r="1044" spans="1:39" ht="15.75" customHeight="1" x14ac:dyDescent="0.2">
      <c r="A1044" s="9"/>
      <c r="B1044" s="9"/>
      <c r="C1044" s="9"/>
      <c r="D1044" s="9"/>
      <c r="E1044" s="9"/>
      <c r="F1044" s="9"/>
      <c r="G1044" s="9"/>
      <c r="H1044" s="9"/>
      <c r="I1044" s="9"/>
      <c r="J1044" s="9"/>
      <c r="K1044" s="9"/>
      <c r="L1044" s="9"/>
      <c r="M1044" s="9"/>
      <c r="N1044" s="9"/>
      <c r="O1044" s="9"/>
      <c r="P1044" s="212"/>
      <c r="Q1044" s="9"/>
      <c r="R1044" s="9"/>
      <c r="S1044" s="9"/>
      <c r="T1044" s="9"/>
      <c r="U1044" s="9"/>
      <c r="V1044" s="9"/>
      <c r="W1044" s="9"/>
      <c r="X1044" s="9"/>
      <c r="Y1044" s="9"/>
      <c r="Z1044" s="9"/>
      <c r="AA1044" s="9"/>
      <c r="AB1044" s="212"/>
      <c r="AC1044" s="9"/>
      <c r="AD1044" s="9"/>
      <c r="AE1044" s="10"/>
      <c r="AF1044" s="10"/>
      <c r="AG1044" s="10"/>
      <c r="AH1044" s="10"/>
      <c r="AI1044" s="10"/>
      <c r="AJ1044" s="10"/>
      <c r="AK1044" s="10"/>
      <c r="AL1044" s="10"/>
      <c r="AM1044" s="10"/>
    </row>
    <row r="1045" spans="1:39" ht="15.75" customHeight="1" x14ac:dyDescent="0.2">
      <c r="A1045" s="9"/>
      <c r="B1045" s="9"/>
      <c r="C1045" s="9"/>
      <c r="D1045" s="9"/>
      <c r="E1045" s="9"/>
      <c r="F1045" s="9"/>
      <c r="G1045" s="9"/>
      <c r="H1045" s="9"/>
      <c r="I1045" s="9"/>
      <c r="J1045" s="9"/>
      <c r="K1045" s="9"/>
      <c r="L1045" s="9"/>
      <c r="M1045" s="9"/>
      <c r="N1045" s="9"/>
      <c r="O1045" s="9"/>
      <c r="P1045" s="212"/>
      <c r="Q1045" s="9"/>
      <c r="R1045" s="9"/>
      <c r="S1045" s="9"/>
      <c r="T1045" s="9"/>
      <c r="U1045" s="9"/>
      <c r="V1045" s="9"/>
      <c r="W1045" s="9"/>
      <c r="X1045" s="9"/>
      <c r="Y1045" s="9"/>
      <c r="Z1045" s="9"/>
      <c r="AA1045" s="9"/>
      <c r="AB1045" s="212"/>
      <c r="AC1045" s="9"/>
      <c r="AD1045" s="9"/>
      <c r="AE1045" s="10"/>
      <c r="AF1045" s="10"/>
      <c r="AG1045" s="10"/>
      <c r="AH1045" s="10"/>
      <c r="AI1045" s="10"/>
      <c r="AJ1045" s="10"/>
      <c r="AK1045" s="10"/>
      <c r="AL1045" s="10"/>
      <c r="AM1045" s="10"/>
    </row>
    <row r="1046" spans="1:39" ht="15.75" customHeight="1" x14ac:dyDescent="0.2">
      <c r="A1046" s="9"/>
      <c r="B1046" s="9"/>
      <c r="C1046" s="9"/>
      <c r="D1046" s="9"/>
      <c r="E1046" s="9"/>
      <c r="F1046" s="9"/>
      <c r="G1046" s="9"/>
      <c r="H1046" s="9"/>
      <c r="I1046" s="9"/>
      <c r="J1046" s="9"/>
      <c r="K1046" s="9"/>
      <c r="L1046" s="9"/>
      <c r="M1046" s="9"/>
      <c r="N1046" s="9"/>
      <c r="O1046" s="9"/>
      <c r="P1046" s="212"/>
      <c r="Q1046" s="9"/>
      <c r="R1046" s="9"/>
      <c r="S1046" s="9"/>
      <c r="T1046" s="9"/>
      <c r="U1046" s="9"/>
      <c r="V1046" s="9"/>
      <c r="W1046" s="9"/>
      <c r="X1046" s="9"/>
      <c r="Y1046" s="9"/>
      <c r="Z1046" s="9"/>
      <c r="AA1046" s="9"/>
      <c r="AB1046" s="212"/>
      <c r="AC1046" s="9"/>
      <c r="AD1046" s="9"/>
      <c r="AE1046" s="10"/>
      <c r="AF1046" s="10"/>
      <c r="AG1046" s="10"/>
      <c r="AH1046" s="10"/>
      <c r="AI1046" s="10"/>
      <c r="AJ1046" s="10"/>
      <c r="AK1046" s="10"/>
      <c r="AL1046" s="10"/>
      <c r="AM1046" s="10"/>
    </row>
    <row r="1047" spans="1:39" ht="15.75" customHeight="1" x14ac:dyDescent="0.2">
      <c r="A1047" s="9"/>
      <c r="B1047" s="9"/>
      <c r="C1047" s="9"/>
      <c r="D1047" s="9"/>
      <c r="E1047" s="9"/>
      <c r="F1047" s="9"/>
      <c r="G1047" s="9"/>
      <c r="H1047" s="9"/>
      <c r="I1047" s="9"/>
      <c r="J1047" s="9"/>
      <c r="K1047" s="9"/>
      <c r="L1047" s="9"/>
      <c r="M1047" s="9"/>
      <c r="N1047" s="9"/>
      <c r="O1047" s="9"/>
      <c r="P1047" s="212"/>
      <c r="Q1047" s="9"/>
      <c r="R1047" s="9"/>
      <c r="S1047" s="9"/>
      <c r="T1047" s="9"/>
      <c r="U1047" s="9"/>
      <c r="V1047" s="9"/>
      <c r="W1047" s="9"/>
      <c r="X1047" s="9"/>
      <c r="Y1047" s="9"/>
      <c r="Z1047" s="9"/>
      <c r="AA1047" s="9"/>
      <c r="AB1047" s="212"/>
      <c r="AC1047" s="9"/>
      <c r="AD1047" s="9"/>
      <c r="AE1047" s="10"/>
      <c r="AF1047" s="10"/>
      <c r="AG1047" s="10"/>
      <c r="AH1047" s="10"/>
      <c r="AI1047" s="10"/>
      <c r="AJ1047" s="10"/>
      <c r="AK1047" s="10"/>
      <c r="AL1047" s="10"/>
      <c r="AM1047" s="10"/>
    </row>
    <row r="1048" spans="1:39" ht="15.75" customHeight="1" x14ac:dyDescent="0.2">
      <c r="A1048" s="9"/>
      <c r="B1048" s="9"/>
      <c r="C1048" s="9"/>
      <c r="D1048" s="9"/>
      <c r="E1048" s="9"/>
      <c r="F1048" s="9"/>
      <c r="G1048" s="9"/>
      <c r="H1048" s="9"/>
      <c r="I1048" s="9"/>
      <c r="J1048" s="9"/>
      <c r="K1048" s="9"/>
      <c r="L1048" s="9"/>
      <c r="M1048" s="9"/>
      <c r="N1048" s="9"/>
      <c r="O1048" s="9"/>
      <c r="P1048" s="212"/>
      <c r="Q1048" s="9"/>
      <c r="R1048" s="9"/>
      <c r="S1048" s="9"/>
      <c r="T1048" s="9"/>
      <c r="U1048" s="9"/>
      <c r="V1048" s="9"/>
      <c r="W1048" s="9"/>
      <c r="X1048" s="9"/>
      <c r="Y1048" s="9"/>
      <c r="Z1048" s="9"/>
      <c r="AA1048" s="9"/>
      <c r="AB1048" s="212"/>
      <c r="AC1048" s="9"/>
      <c r="AD1048" s="9"/>
      <c r="AE1048" s="10"/>
      <c r="AF1048" s="10"/>
      <c r="AG1048" s="10"/>
      <c r="AH1048" s="10"/>
      <c r="AI1048" s="10"/>
      <c r="AJ1048" s="10"/>
      <c r="AK1048" s="10"/>
      <c r="AL1048" s="10"/>
      <c r="AM1048" s="10"/>
    </row>
    <row r="1049" spans="1:39" ht="15.75" customHeight="1" x14ac:dyDescent="0.2">
      <c r="A1049" s="9"/>
      <c r="B1049" s="9"/>
      <c r="C1049" s="9"/>
      <c r="D1049" s="9"/>
      <c r="E1049" s="9"/>
      <c r="F1049" s="9"/>
      <c r="G1049" s="9"/>
      <c r="H1049" s="9"/>
      <c r="I1049" s="9"/>
      <c r="J1049" s="9"/>
      <c r="K1049" s="9"/>
      <c r="L1049" s="9"/>
      <c r="M1049" s="9"/>
      <c r="N1049" s="9"/>
      <c r="O1049" s="9"/>
      <c r="P1049" s="212"/>
      <c r="Q1049" s="9"/>
      <c r="R1049" s="9"/>
      <c r="S1049" s="9"/>
      <c r="T1049" s="9"/>
      <c r="U1049" s="9"/>
      <c r="V1049" s="9"/>
      <c r="W1049" s="9"/>
      <c r="X1049" s="9"/>
      <c r="Y1049" s="9"/>
      <c r="Z1049" s="9"/>
      <c r="AA1049" s="9"/>
      <c r="AB1049" s="212"/>
      <c r="AC1049" s="9"/>
      <c r="AD1049" s="9"/>
      <c r="AE1049" s="10"/>
      <c r="AF1049" s="10"/>
      <c r="AG1049" s="10"/>
      <c r="AH1049" s="10"/>
      <c r="AI1049" s="10"/>
      <c r="AJ1049" s="10"/>
      <c r="AK1049" s="10"/>
      <c r="AL1049" s="10"/>
      <c r="AM1049" s="10"/>
    </row>
    <row r="1050" spans="1:39" ht="15.75" customHeight="1" x14ac:dyDescent="0.2">
      <c r="A1050" s="9"/>
      <c r="B1050" s="9"/>
      <c r="C1050" s="9"/>
      <c r="D1050" s="9"/>
      <c r="E1050" s="9"/>
      <c r="F1050" s="9"/>
      <c r="G1050" s="9"/>
      <c r="H1050" s="9"/>
      <c r="I1050" s="9"/>
      <c r="J1050" s="9"/>
      <c r="K1050" s="9"/>
      <c r="L1050" s="9"/>
      <c r="M1050" s="9"/>
      <c r="N1050" s="9"/>
      <c r="O1050" s="9"/>
      <c r="P1050" s="212"/>
      <c r="Q1050" s="9"/>
      <c r="R1050" s="9"/>
      <c r="S1050" s="9"/>
      <c r="T1050" s="9"/>
      <c r="U1050" s="9"/>
      <c r="V1050" s="9"/>
      <c r="W1050" s="9"/>
      <c r="X1050" s="9"/>
      <c r="Y1050" s="9"/>
      <c r="Z1050" s="9"/>
      <c r="AA1050" s="9"/>
      <c r="AB1050" s="212"/>
      <c r="AC1050" s="9"/>
      <c r="AD1050" s="9"/>
      <c r="AE1050" s="10"/>
      <c r="AF1050" s="10"/>
      <c r="AG1050" s="10"/>
      <c r="AH1050" s="10"/>
      <c r="AI1050" s="10"/>
      <c r="AJ1050" s="10"/>
      <c r="AK1050" s="10"/>
      <c r="AL1050" s="10"/>
      <c r="AM1050" s="10"/>
    </row>
    <row r="1051" spans="1:39" ht="15.75" customHeight="1" x14ac:dyDescent="0.2">
      <c r="A1051" s="9"/>
      <c r="B1051" s="9"/>
      <c r="C1051" s="9"/>
      <c r="D1051" s="9"/>
      <c r="E1051" s="9"/>
      <c r="F1051" s="9"/>
      <c r="G1051" s="9"/>
      <c r="H1051" s="9"/>
      <c r="I1051" s="9"/>
      <c r="J1051" s="9"/>
      <c r="K1051" s="9"/>
      <c r="L1051" s="9"/>
      <c r="M1051" s="9"/>
      <c r="N1051" s="9"/>
      <c r="O1051" s="9"/>
      <c r="P1051" s="212"/>
      <c r="Q1051" s="9"/>
      <c r="R1051" s="9"/>
      <c r="S1051" s="9"/>
      <c r="T1051" s="9"/>
      <c r="U1051" s="9"/>
      <c r="V1051" s="9"/>
      <c r="W1051" s="9"/>
      <c r="X1051" s="9"/>
      <c r="Y1051" s="9"/>
      <c r="Z1051" s="9"/>
      <c r="AA1051" s="9"/>
      <c r="AB1051" s="212"/>
      <c r="AC1051" s="9"/>
      <c r="AD1051" s="9"/>
      <c r="AE1051" s="10"/>
      <c r="AF1051" s="10"/>
      <c r="AG1051" s="10"/>
      <c r="AH1051" s="10"/>
      <c r="AI1051" s="10"/>
      <c r="AJ1051" s="10"/>
      <c r="AK1051" s="10"/>
      <c r="AL1051" s="10"/>
      <c r="AM1051" s="10"/>
    </row>
    <row r="1052" spans="1:39" ht="15.75" customHeight="1" x14ac:dyDescent="0.2">
      <c r="A1052" s="9"/>
      <c r="B1052" s="9"/>
      <c r="C1052" s="9"/>
      <c r="D1052" s="9"/>
      <c r="E1052" s="9"/>
      <c r="F1052" s="9"/>
      <c r="G1052" s="9"/>
      <c r="H1052" s="9"/>
      <c r="I1052" s="9"/>
      <c r="J1052" s="9"/>
      <c r="K1052" s="9"/>
      <c r="L1052" s="9"/>
      <c r="M1052" s="9"/>
      <c r="N1052" s="9"/>
      <c r="O1052" s="9"/>
      <c r="P1052" s="212"/>
      <c r="Q1052" s="9"/>
      <c r="R1052" s="9"/>
      <c r="S1052" s="9"/>
      <c r="T1052" s="9"/>
      <c r="U1052" s="9"/>
      <c r="V1052" s="9"/>
      <c r="W1052" s="9"/>
      <c r="X1052" s="9"/>
      <c r="Y1052" s="9"/>
      <c r="Z1052" s="9"/>
      <c r="AA1052" s="9"/>
      <c r="AB1052" s="212"/>
      <c r="AC1052" s="9"/>
      <c r="AD1052" s="9"/>
      <c r="AE1052" s="10"/>
      <c r="AF1052" s="10"/>
      <c r="AG1052" s="10"/>
      <c r="AH1052" s="10"/>
      <c r="AI1052" s="10"/>
      <c r="AJ1052" s="10"/>
      <c r="AK1052" s="10"/>
      <c r="AL1052" s="10"/>
      <c r="AM1052" s="10"/>
    </row>
    <row r="1053" spans="1:39" ht="15.75" customHeight="1" x14ac:dyDescent="0.2">
      <c r="A1053" s="9"/>
      <c r="B1053" s="9"/>
      <c r="C1053" s="9"/>
      <c r="D1053" s="9"/>
      <c r="E1053" s="9"/>
      <c r="F1053" s="9"/>
      <c r="G1053" s="9"/>
      <c r="H1053" s="9"/>
      <c r="I1053" s="9"/>
      <c r="J1053" s="9"/>
      <c r="K1053" s="9"/>
      <c r="L1053" s="9"/>
      <c r="M1053" s="9"/>
      <c r="N1053" s="9"/>
      <c r="O1053" s="9"/>
      <c r="P1053" s="212"/>
      <c r="Q1053" s="9"/>
      <c r="R1053" s="9"/>
      <c r="S1053" s="9"/>
      <c r="T1053" s="9"/>
      <c r="U1053" s="9"/>
      <c r="V1053" s="9"/>
      <c r="W1053" s="9"/>
      <c r="X1053" s="9"/>
      <c r="Y1053" s="9"/>
      <c r="Z1053" s="9"/>
      <c r="AA1053" s="9"/>
      <c r="AB1053" s="212"/>
      <c r="AC1053" s="9"/>
      <c r="AD1053" s="9"/>
      <c r="AE1053" s="10"/>
      <c r="AF1053" s="10"/>
      <c r="AG1053" s="10"/>
      <c r="AH1053" s="10"/>
      <c r="AI1053" s="10"/>
      <c r="AJ1053" s="10"/>
      <c r="AK1053" s="10"/>
      <c r="AL1053" s="10"/>
      <c r="AM1053" s="10"/>
    </row>
    <row r="1054" spans="1:39" ht="15.75" customHeight="1" x14ac:dyDescent="0.2">
      <c r="A1054" s="9"/>
      <c r="B1054" s="9"/>
      <c r="C1054" s="9"/>
      <c r="D1054" s="9"/>
      <c r="E1054" s="9"/>
      <c r="F1054" s="9"/>
      <c r="G1054" s="9"/>
      <c r="H1054" s="9"/>
      <c r="I1054" s="9"/>
      <c r="J1054" s="9"/>
      <c r="K1054" s="9"/>
      <c r="L1054" s="9"/>
      <c r="M1054" s="9"/>
      <c r="N1054" s="9"/>
      <c r="O1054" s="9"/>
      <c r="P1054" s="212"/>
      <c r="Q1054" s="9"/>
      <c r="R1054" s="9"/>
      <c r="S1054" s="9"/>
      <c r="T1054" s="9"/>
      <c r="U1054" s="9"/>
      <c r="V1054" s="9"/>
      <c r="W1054" s="9"/>
      <c r="X1054" s="9"/>
      <c r="Y1054" s="9"/>
      <c r="Z1054" s="9"/>
      <c r="AA1054" s="9"/>
      <c r="AB1054" s="212"/>
      <c r="AC1054" s="9"/>
      <c r="AD1054" s="9"/>
      <c r="AE1054" s="10"/>
      <c r="AF1054" s="10"/>
      <c r="AG1054" s="10"/>
      <c r="AH1054" s="10"/>
      <c r="AI1054" s="10"/>
      <c r="AJ1054" s="10"/>
      <c r="AK1054" s="10"/>
      <c r="AL1054" s="10"/>
      <c r="AM1054" s="10"/>
    </row>
    <row r="1055" spans="1:39" ht="15.75" customHeight="1" x14ac:dyDescent="0.2">
      <c r="A1055" s="9"/>
      <c r="B1055" s="9"/>
      <c r="C1055" s="9"/>
      <c r="D1055" s="9"/>
      <c r="E1055" s="9"/>
      <c r="F1055" s="9"/>
      <c r="G1055" s="9"/>
      <c r="H1055" s="9"/>
      <c r="I1055" s="9"/>
      <c r="J1055" s="9"/>
      <c r="K1055" s="9"/>
      <c r="L1055" s="9"/>
      <c r="M1055" s="9"/>
      <c r="N1055" s="9"/>
      <c r="O1055" s="9"/>
      <c r="P1055" s="212"/>
      <c r="Q1055" s="9"/>
      <c r="R1055" s="9"/>
      <c r="S1055" s="9"/>
      <c r="T1055" s="9"/>
      <c r="U1055" s="9"/>
      <c r="V1055" s="9"/>
      <c r="W1055" s="9"/>
      <c r="X1055" s="9"/>
      <c r="Y1055" s="9"/>
      <c r="Z1055" s="9"/>
      <c r="AA1055" s="9"/>
      <c r="AB1055" s="212"/>
      <c r="AC1055" s="9"/>
      <c r="AD1055" s="9"/>
      <c r="AE1055" s="10"/>
      <c r="AF1055" s="10"/>
      <c r="AG1055" s="10"/>
      <c r="AH1055" s="10"/>
      <c r="AI1055" s="10"/>
      <c r="AJ1055" s="10"/>
      <c r="AK1055" s="10"/>
      <c r="AL1055" s="10"/>
      <c r="AM1055" s="10"/>
    </row>
    <row r="1056" spans="1:39" ht="15.75" customHeight="1" x14ac:dyDescent="0.2">
      <c r="A1056" s="9"/>
      <c r="B1056" s="9"/>
      <c r="C1056" s="9"/>
      <c r="D1056" s="9"/>
      <c r="E1056" s="9"/>
      <c r="F1056" s="9"/>
      <c r="G1056" s="9"/>
      <c r="H1056" s="9"/>
      <c r="I1056" s="9"/>
      <c r="J1056" s="9"/>
      <c r="K1056" s="9"/>
      <c r="L1056" s="9"/>
      <c r="M1056" s="9"/>
      <c r="N1056" s="9"/>
      <c r="O1056" s="9"/>
      <c r="P1056" s="212"/>
      <c r="Q1056" s="9"/>
      <c r="R1056" s="9"/>
      <c r="S1056" s="9"/>
      <c r="T1056" s="9"/>
      <c r="U1056" s="9"/>
      <c r="V1056" s="9"/>
      <c r="W1056" s="9"/>
      <c r="X1056" s="9"/>
      <c r="Y1056" s="9"/>
      <c r="Z1056" s="9"/>
      <c r="AA1056" s="9"/>
      <c r="AB1056" s="212"/>
      <c r="AC1056" s="9"/>
      <c r="AD1056" s="9"/>
      <c r="AE1056" s="10"/>
      <c r="AF1056" s="10"/>
      <c r="AG1056" s="10"/>
      <c r="AH1056" s="10"/>
      <c r="AI1056" s="10"/>
      <c r="AJ1056" s="10"/>
      <c r="AK1056" s="10"/>
      <c r="AL1056" s="10"/>
      <c r="AM1056" s="10"/>
    </row>
    <row r="1057" spans="1:39" ht="15.75" customHeight="1" x14ac:dyDescent="0.2">
      <c r="A1057" s="9"/>
      <c r="B1057" s="9"/>
      <c r="C1057" s="9"/>
      <c r="D1057" s="9"/>
      <c r="E1057" s="9"/>
      <c r="F1057" s="9"/>
      <c r="G1057" s="9"/>
      <c r="H1057" s="9"/>
      <c r="I1057" s="9"/>
      <c r="J1057" s="9"/>
      <c r="K1057" s="9"/>
      <c r="L1057" s="9"/>
      <c r="M1057" s="9"/>
      <c r="N1057" s="9"/>
      <c r="O1057" s="9"/>
      <c r="P1057" s="212"/>
      <c r="Q1057" s="9"/>
      <c r="R1057" s="9"/>
      <c r="S1057" s="9"/>
      <c r="T1057" s="9"/>
      <c r="U1057" s="9"/>
      <c r="V1057" s="9"/>
      <c r="W1057" s="9"/>
      <c r="X1057" s="9"/>
      <c r="Y1057" s="9"/>
      <c r="Z1057" s="9"/>
      <c r="AA1057" s="9"/>
      <c r="AB1057" s="212"/>
      <c r="AC1057" s="9"/>
      <c r="AD1057" s="9"/>
      <c r="AE1057" s="10"/>
      <c r="AF1057" s="10"/>
      <c r="AG1057" s="10"/>
      <c r="AH1057" s="10"/>
      <c r="AI1057" s="10"/>
      <c r="AJ1057" s="10"/>
      <c r="AK1057" s="10"/>
      <c r="AL1057" s="10"/>
      <c r="AM1057" s="10"/>
    </row>
    <row r="1058" spans="1:39" ht="15.75" customHeight="1" x14ac:dyDescent="0.2">
      <c r="A1058" s="9"/>
      <c r="B1058" s="9"/>
      <c r="C1058" s="9"/>
      <c r="D1058" s="9"/>
      <c r="E1058" s="9"/>
      <c r="F1058" s="9"/>
      <c r="G1058" s="9"/>
      <c r="H1058" s="9"/>
      <c r="I1058" s="9"/>
      <c r="J1058" s="9"/>
      <c r="K1058" s="9"/>
      <c r="L1058" s="9"/>
      <c r="M1058" s="9"/>
      <c r="N1058" s="9"/>
      <c r="O1058" s="9"/>
      <c r="P1058" s="212"/>
      <c r="Q1058" s="9"/>
      <c r="R1058" s="9"/>
      <c r="S1058" s="9"/>
      <c r="T1058" s="9"/>
      <c r="U1058" s="9"/>
      <c r="V1058" s="9"/>
      <c r="W1058" s="9"/>
      <c r="X1058" s="9"/>
      <c r="Y1058" s="9"/>
      <c r="Z1058" s="9"/>
      <c r="AA1058" s="9"/>
      <c r="AB1058" s="212"/>
      <c r="AC1058" s="9"/>
      <c r="AD1058" s="9"/>
      <c r="AE1058" s="10"/>
      <c r="AF1058" s="10"/>
      <c r="AG1058" s="10"/>
      <c r="AH1058" s="10"/>
      <c r="AI1058" s="10"/>
      <c r="AJ1058" s="10"/>
      <c r="AK1058" s="10"/>
      <c r="AL1058" s="10"/>
      <c r="AM1058" s="10"/>
    </row>
    <row r="1059" spans="1:39" ht="15.75" customHeight="1" x14ac:dyDescent="0.2">
      <c r="A1059" s="9"/>
      <c r="B1059" s="9"/>
      <c r="C1059" s="9"/>
      <c r="D1059" s="9"/>
      <c r="E1059" s="9"/>
      <c r="F1059" s="9"/>
      <c r="G1059" s="9"/>
      <c r="H1059" s="9"/>
      <c r="I1059" s="9"/>
      <c r="J1059" s="9"/>
      <c r="K1059" s="9"/>
      <c r="L1059" s="9"/>
      <c r="M1059" s="9"/>
      <c r="N1059" s="9"/>
      <c r="O1059" s="9"/>
      <c r="P1059" s="212"/>
      <c r="Q1059" s="9"/>
      <c r="R1059" s="9"/>
      <c r="S1059" s="9"/>
      <c r="T1059" s="9"/>
      <c r="U1059" s="9"/>
      <c r="V1059" s="9"/>
      <c r="W1059" s="9"/>
      <c r="X1059" s="9"/>
      <c r="Y1059" s="9"/>
      <c r="Z1059" s="9"/>
      <c r="AA1059" s="9"/>
      <c r="AB1059" s="212"/>
      <c r="AC1059" s="9"/>
      <c r="AD1059" s="9"/>
      <c r="AE1059" s="10"/>
      <c r="AF1059" s="10"/>
      <c r="AG1059" s="10"/>
      <c r="AH1059" s="10"/>
      <c r="AI1059" s="10"/>
      <c r="AJ1059" s="10"/>
      <c r="AK1059" s="10"/>
      <c r="AL1059" s="10"/>
      <c r="AM1059" s="10"/>
    </row>
    <row r="1060" spans="1:39" ht="15.75" customHeight="1" x14ac:dyDescent="0.2">
      <c r="A1060" s="9"/>
      <c r="B1060" s="9"/>
      <c r="C1060" s="9"/>
      <c r="D1060" s="9"/>
      <c r="E1060" s="9"/>
      <c r="F1060" s="9"/>
      <c r="G1060" s="9"/>
      <c r="H1060" s="9"/>
      <c r="I1060" s="9"/>
      <c r="J1060" s="9"/>
      <c r="K1060" s="9"/>
      <c r="L1060" s="9"/>
      <c r="M1060" s="9"/>
      <c r="N1060" s="9"/>
      <c r="O1060" s="9"/>
      <c r="P1060" s="212"/>
      <c r="Q1060" s="9"/>
      <c r="R1060" s="9"/>
      <c r="S1060" s="9"/>
      <c r="T1060" s="9"/>
      <c r="U1060" s="9"/>
      <c r="V1060" s="9"/>
      <c r="W1060" s="9"/>
      <c r="X1060" s="9"/>
      <c r="Y1060" s="9"/>
      <c r="Z1060" s="9"/>
      <c r="AA1060" s="9"/>
      <c r="AB1060" s="212"/>
      <c r="AC1060" s="9"/>
      <c r="AD1060" s="9"/>
      <c r="AE1060" s="10"/>
      <c r="AF1060" s="10"/>
      <c r="AG1060" s="10"/>
      <c r="AH1060" s="10"/>
      <c r="AI1060" s="10"/>
      <c r="AJ1060" s="10"/>
      <c r="AK1060" s="10"/>
      <c r="AL1060" s="10"/>
      <c r="AM1060" s="10"/>
    </row>
    <row r="1061" spans="1:39" ht="15.75" customHeight="1" x14ac:dyDescent="0.2">
      <c r="A1061" s="9"/>
      <c r="B1061" s="9"/>
      <c r="C1061" s="9"/>
      <c r="D1061" s="9"/>
      <c r="E1061" s="9"/>
      <c r="F1061" s="9"/>
      <c r="G1061" s="9"/>
      <c r="H1061" s="9"/>
      <c r="I1061" s="9"/>
      <c r="J1061" s="9"/>
      <c r="K1061" s="9"/>
      <c r="L1061" s="9"/>
      <c r="M1061" s="9"/>
      <c r="N1061" s="9"/>
      <c r="O1061" s="9"/>
      <c r="P1061" s="212"/>
      <c r="Q1061" s="9"/>
      <c r="R1061" s="9"/>
      <c r="S1061" s="9"/>
      <c r="T1061" s="9"/>
      <c r="U1061" s="9"/>
      <c r="V1061" s="9"/>
      <c r="W1061" s="9"/>
      <c r="X1061" s="9"/>
      <c r="Y1061" s="9"/>
      <c r="Z1061" s="9"/>
      <c r="AA1061" s="9"/>
      <c r="AB1061" s="212"/>
      <c r="AC1061" s="9"/>
      <c r="AD1061" s="9"/>
      <c r="AE1061" s="10"/>
      <c r="AF1061" s="10"/>
      <c r="AG1061" s="10"/>
      <c r="AH1061" s="10"/>
      <c r="AI1061" s="10"/>
      <c r="AJ1061" s="10"/>
      <c r="AK1061" s="10"/>
      <c r="AL1061" s="10"/>
      <c r="AM1061" s="10"/>
    </row>
    <row r="1062" spans="1:39" ht="15.75" customHeight="1" x14ac:dyDescent="0.2">
      <c r="A1062" s="9"/>
      <c r="B1062" s="9"/>
      <c r="C1062" s="9"/>
      <c r="D1062" s="9"/>
      <c r="E1062" s="9"/>
      <c r="F1062" s="9"/>
      <c r="G1062" s="9"/>
      <c r="H1062" s="9"/>
      <c r="I1062" s="9"/>
      <c r="J1062" s="9"/>
      <c r="K1062" s="9"/>
      <c r="L1062" s="9"/>
      <c r="M1062" s="9"/>
      <c r="N1062" s="9"/>
      <c r="O1062" s="9"/>
      <c r="P1062" s="212"/>
      <c r="Q1062" s="9"/>
      <c r="R1062" s="9"/>
      <c r="S1062" s="9"/>
      <c r="T1062" s="9"/>
      <c r="U1062" s="9"/>
      <c r="V1062" s="9"/>
      <c r="W1062" s="9"/>
      <c r="X1062" s="9"/>
      <c r="Y1062" s="9"/>
      <c r="Z1062" s="9"/>
      <c r="AA1062" s="9"/>
      <c r="AB1062" s="212"/>
      <c r="AC1062" s="9"/>
      <c r="AD1062" s="9"/>
      <c r="AE1062" s="10"/>
      <c r="AF1062" s="10"/>
      <c r="AG1062" s="10"/>
      <c r="AH1062" s="10"/>
      <c r="AI1062" s="10"/>
      <c r="AJ1062" s="10"/>
      <c r="AK1062" s="10"/>
      <c r="AL1062" s="10"/>
      <c r="AM1062" s="10"/>
    </row>
    <row r="1063" spans="1:39" ht="15.75" customHeight="1" x14ac:dyDescent="0.2">
      <c r="A1063" s="9"/>
      <c r="B1063" s="9"/>
      <c r="C1063" s="9"/>
      <c r="D1063" s="9"/>
      <c r="E1063" s="9"/>
      <c r="F1063" s="9"/>
      <c r="G1063" s="9"/>
      <c r="H1063" s="9"/>
      <c r="I1063" s="9"/>
      <c r="J1063" s="9"/>
      <c r="K1063" s="9"/>
      <c r="L1063" s="9"/>
      <c r="M1063" s="9"/>
      <c r="N1063" s="9"/>
      <c r="O1063" s="9"/>
      <c r="P1063" s="212"/>
      <c r="Q1063" s="9"/>
      <c r="R1063" s="9"/>
      <c r="S1063" s="9"/>
      <c r="T1063" s="9"/>
      <c r="U1063" s="9"/>
      <c r="V1063" s="9"/>
      <c r="W1063" s="9"/>
      <c r="X1063" s="9"/>
      <c r="Y1063" s="9"/>
      <c r="Z1063" s="9"/>
      <c r="AA1063" s="9"/>
      <c r="AB1063" s="212"/>
      <c r="AC1063" s="9"/>
      <c r="AD1063" s="9"/>
      <c r="AE1063" s="10"/>
      <c r="AF1063" s="10"/>
      <c r="AG1063" s="10"/>
      <c r="AH1063" s="10"/>
      <c r="AI1063" s="10"/>
      <c r="AJ1063" s="10"/>
      <c r="AK1063" s="10"/>
      <c r="AL1063" s="10"/>
      <c r="AM1063" s="10"/>
    </row>
    <row r="1064" spans="1:39" ht="15.75" customHeight="1" x14ac:dyDescent="0.2">
      <c r="A1064" s="9"/>
      <c r="B1064" s="9"/>
      <c r="C1064" s="9"/>
      <c r="D1064" s="9"/>
      <c r="E1064" s="9"/>
      <c r="F1064" s="9"/>
      <c r="G1064" s="9"/>
      <c r="H1064" s="9"/>
      <c r="I1064" s="9"/>
      <c r="J1064" s="9"/>
      <c r="K1064" s="9"/>
      <c r="L1064" s="9"/>
      <c r="M1064" s="9"/>
      <c r="N1064" s="9"/>
      <c r="O1064" s="9"/>
      <c r="P1064" s="212"/>
      <c r="Q1064" s="9"/>
      <c r="R1064" s="9"/>
      <c r="S1064" s="9"/>
      <c r="T1064" s="9"/>
      <c r="U1064" s="9"/>
      <c r="V1064" s="9"/>
      <c r="W1064" s="9"/>
      <c r="X1064" s="9"/>
      <c r="Y1064" s="9"/>
      <c r="Z1064" s="9"/>
      <c r="AA1064" s="9"/>
      <c r="AB1064" s="212"/>
      <c r="AC1064" s="9"/>
      <c r="AD1064" s="9"/>
      <c r="AE1064" s="10"/>
      <c r="AF1064" s="10"/>
      <c r="AG1064" s="10"/>
      <c r="AH1064" s="10"/>
      <c r="AI1064" s="10"/>
      <c r="AJ1064" s="10"/>
      <c r="AK1064" s="10"/>
      <c r="AL1064" s="10"/>
      <c r="AM1064" s="10"/>
    </row>
    <row r="1065" spans="1:39" ht="15.75" customHeight="1" x14ac:dyDescent="0.2">
      <c r="A1065" s="9"/>
      <c r="B1065" s="9"/>
      <c r="C1065" s="9"/>
      <c r="D1065" s="9"/>
      <c r="E1065" s="9"/>
      <c r="F1065" s="9"/>
      <c r="G1065" s="9"/>
      <c r="H1065" s="9"/>
      <c r="I1065" s="9"/>
      <c r="J1065" s="9"/>
      <c r="K1065" s="9"/>
      <c r="L1065" s="9"/>
      <c r="M1065" s="9"/>
      <c r="N1065" s="9"/>
      <c r="O1065" s="9"/>
      <c r="P1065" s="212"/>
      <c r="Q1065" s="9"/>
      <c r="R1065" s="9"/>
      <c r="S1065" s="9"/>
      <c r="T1065" s="9"/>
      <c r="U1065" s="9"/>
      <c r="V1065" s="9"/>
      <c r="W1065" s="9"/>
      <c r="X1065" s="9"/>
      <c r="Y1065" s="9"/>
      <c r="Z1065" s="9"/>
      <c r="AA1065" s="9"/>
      <c r="AB1065" s="212"/>
      <c r="AC1065" s="9"/>
      <c r="AD1065" s="9"/>
      <c r="AE1065" s="10"/>
      <c r="AF1065" s="10"/>
      <c r="AG1065" s="10"/>
      <c r="AH1065" s="10"/>
      <c r="AI1065" s="10"/>
      <c r="AJ1065" s="10"/>
      <c r="AK1065" s="10"/>
      <c r="AL1065" s="10"/>
      <c r="AM1065" s="10"/>
    </row>
    <row r="1066" spans="1:39" ht="15.75" customHeight="1" x14ac:dyDescent="0.2">
      <c r="A1066" s="9"/>
      <c r="B1066" s="9"/>
      <c r="C1066" s="9"/>
      <c r="D1066" s="9"/>
      <c r="E1066" s="9"/>
      <c r="F1066" s="9"/>
      <c r="G1066" s="9"/>
      <c r="H1066" s="9"/>
      <c r="I1066" s="9"/>
      <c r="J1066" s="9"/>
      <c r="K1066" s="9"/>
      <c r="L1066" s="9"/>
      <c r="M1066" s="9"/>
      <c r="N1066" s="9"/>
      <c r="O1066" s="9"/>
      <c r="P1066" s="212"/>
      <c r="Q1066" s="9"/>
      <c r="R1066" s="9"/>
      <c r="S1066" s="9"/>
      <c r="T1066" s="9"/>
      <c r="U1066" s="9"/>
      <c r="V1066" s="9"/>
      <c r="W1066" s="9"/>
      <c r="X1066" s="9"/>
      <c r="Y1066" s="9"/>
      <c r="Z1066" s="9"/>
      <c r="AA1066" s="9"/>
      <c r="AB1066" s="212"/>
      <c r="AC1066" s="9"/>
      <c r="AD1066" s="9"/>
      <c r="AE1066" s="10"/>
      <c r="AF1066" s="10"/>
      <c r="AG1066" s="10"/>
      <c r="AH1066" s="10"/>
      <c r="AI1066" s="10"/>
      <c r="AJ1066" s="10"/>
      <c r="AK1066" s="10"/>
      <c r="AL1066" s="10"/>
      <c r="AM1066" s="10"/>
    </row>
    <row r="1067" spans="1:39" ht="15.75" customHeight="1" x14ac:dyDescent="0.2">
      <c r="A1067" s="9"/>
      <c r="B1067" s="9"/>
      <c r="C1067" s="9"/>
      <c r="D1067" s="9"/>
      <c r="E1067" s="9"/>
      <c r="F1067" s="9"/>
      <c r="G1067" s="9"/>
      <c r="H1067" s="9"/>
      <c r="I1067" s="9"/>
      <c r="J1067" s="9"/>
      <c r="K1067" s="9"/>
      <c r="L1067" s="9"/>
      <c r="M1067" s="9"/>
      <c r="N1067" s="9"/>
      <c r="O1067" s="9"/>
      <c r="P1067" s="212"/>
      <c r="Q1067" s="9"/>
      <c r="R1067" s="9"/>
      <c r="S1067" s="9"/>
      <c r="T1067" s="9"/>
      <c r="U1067" s="9"/>
      <c r="V1067" s="9"/>
      <c r="W1067" s="9"/>
      <c r="X1067" s="9"/>
      <c r="Y1067" s="9"/>
      <c r="Z1067" s="9"/>
      <c r="AA1067" s="9"/>
      <c r="AB1067" s="212"/>
      <c r="AC1067" s="9"/>
      <c r="AD1067" s="9"/>
      <c r="AE1067" s="10"/>
      <c r="AF1067" s="10"/>
      <c r="AG1067" s="10"/>
      <c r="AH1067" s="10"/>
      <c r="AI1067" s="10"/>
      <c r="AJ1067" s="10"/>
      <c r="AK1067" s="10"/>
      <c r="AL1067" s="10"/>
      <c r="AM1067" s="10"/>
    </row>
    <row r="1068" spans="1:39" ht="15.75" customHeight="1" x14ac:dyDescent="0.2">
      <c r="A1068" s="9"/>
      <c r="B1068" s="9"/>
      <c r="C1068" s="9"/>
      <c r="D1068" s="9"/>
      <c r="E1068" s="9"/>
      <c r="F1068" s="9"/>
      <c r="G1068" s="9"/>
      <c r="H1068" s="9"/>
      <c r="I1068" s="9"/>
      <c r="J1068" s="9"/>
      <c r="K1068" s="9"/>
      <c r="L1068" s="9"/>
      <c r="M1068" s="9"/>
      <c r="N1068" s="9"/>
      <c r="O1068" s="9"/>
      <c r="P1068" s="212"/>
      <c r="Q1068" s="9"/>
      <c r="R1068" s="9"/>
      <c r="S1068" s="9"/>
      <c r="T1068" s="9"/>
      <c r="U1068" s="9"/>
      <c r="V1068" s="9"/>
      <c r="W1068" s="9"/>
      <c r="X1068" s="9"/>
      <c r="Y1068" s="9"/>
      <c r="Z1068" s="9"/>
      <c r="AA1068" s="9"/>
      <c r="AB1068" s="212"/>
      <c r="AC1068" s="9"/>
      <c r="AD1068" s="9"/>
      <c r="AE1068" s="10"/>
      <c r="AF1068" s="10"/>
      <c r="AG1068" s="10"/>
      <c r="AH1068" s="10"/>
      <c r="AI1068" s="10"/>
      <c r="AJ1068" s="10"/>
      <c r="AK1068" s="10"/>
      <c r="AL1068" s="10"/>
      <c r="AM1068" s="10"/>
    </row>
    <row r="1069" spans="1:39" ht="15.75" customHeight="1" x14ac:dyDescent="0.2">
      <c r="A1069" s="9"/>
      <c r="B1069" s="9"/>
      <c r="C1069" s="9"/>
      <c r="D1069" s="9"/>
      <c r="E1069" s="9"/>
      <c r="F1069" s="9"/>
      <c r="G1069" s="9"/>
      <c r="H1069" s="9"/>
      <c r="I1069" s="9"/>
      <c r="J1069" s="9"/>
      <c r="K1069" s="9"/>
      <c r="L1069" s="9"/>
      <c r="M1069" s="9"/>
      <c r="N1069" s="9"/>
      <c r="O1069" s="9"/>
      <c r="P1069" s="212"/>
      <c r="Q1069" s="9"/>
      <c r="R1069" s="9"/>
      <c r="S1069" s="9"/>
      <c r="T1069" s="9"/>
      <c r="U1069" s="9"/>
      <c r="V1069" s="9"/>
      <c r="W1069" s="9"/>
      <c r="X1069" s="9"/>
      <c r="Y1069" s="9"/>
      <c r="Z1069" s="9"/>
      <c r="AA1069" s="9"/>
      <c r="AB1069" s="212"/>
      <c r="AC1069" s="9"/>
      <c r="AD1069" s="9"/>
      <c r="AE1069" s="10"/>
      <c r="AF1069" s="10"/>
      <c r="AG1069" s="10"/>
      <c r="AH1069" s="10"/>
      <c r="AI1069" s="10"/>
      <c r="AJ1069" s="10"/>
      <c r="AK1069" s="10"/>
      <c r="AL1069" s="10"/>
      <c r="AM1069" s="10"/>
    </row>
    <row r="1070" spans="1:39" ht="15.75" customHeight="1" x14ac:dyDescent="0.2">
      <c r="A1070" s="9"/>
      <c r="B1070" s="9"/>
      <c r="C1070" s="9"/>
      <c r="D1070" s="9"/>
      <c r="E1070" s="9"/>
      <c r="F1070" s="9"/>
      <c r="G1070" s="9"/>
      <c r="H1070" s="9"/>
      <c r="I1070" s="9"/>
      <c r="J1070" s="9"/>
      <c r="K1070" s="9"/>
      <c r="L1070" s="9"/>
      <c r="M1070" s="9"/>
      <c r="N1070" s="9"/>
      <c r="O1070" s="9"/>
      <c r="P1070" s="212"/>
      <c r="Q1070" s="9"/>
      <c r="R1070" s="9"/>
      <c r="S1070" s="9"/>
      <c r="T1070" s="9"/>
      <c r="U1070" s="9"/>
      <c r="V1070" s="9"/>
      <c r="W1070" s="9"/>
      <c r="X1070" s="9"/>
      <c r="Y1070" s="9"/>
      <c r="Z1070" s="9"/>
      <c r="AA1070" s="9"/>
      <c r="AB1070" s="212"/>
      <c r="AC1070" s="9"/>
      <c r="AD1070" s="9"/>
      <c r="AE1070" s="10"/>
      <c r="AF1070" s="10"/>
      <c r="AG1070" s="10"/>
      <c r="AH1070" s="10"/>
      <c r="AI1070" s="10"/>
      <c r="AJ1070" s="10"/>
      <c r="AK1070" s="10"/>
      <c r="AL1070" s="10"/>
      <c r="AM1070" s="10"/>
    </row>
    <row r="1071" spans="1:39" ht="15.75" customHeight="1" x14ac:dyDescent="0.2">
      <c r="A1071" s="9"/>
      <c r="B1071" s="9"/>
      <c r="C1071" s="9"/>
      <c r="D1071" s="9"/>
      <c r="E1071" s="9"/>
      <c r="F1071" s="9"/>
      <c r="G1071" s="9"/>
      <c r="H1071" s="9"/>
      <c r="I1071" s="9"/>
      <c r="J1071" s="9"/>
      <c r="K1071" s="9"/>
      <c r="L1071" s="9"/>
      <c r="M1071" s="9"/>
      <c r="N1071" s="9"/>
      <c r="O1071" s="9"/>
      <c r="P1071" s="212"/>
      <c r="Q1071" s="9"/>
      <c r="R1071" s="9"/>
      <c r="S1071" s="9"/>
      <c r="T1071" s="9"/>
      <c r="U1071" s="9"/>
      <c r="V1071" s="9"/>
      <c r="W1071" s="9"/>
      <c r="X1071" s="9"/>
      <c r="Y1071" s="9"/>
      <c r="Z1071" s="9"/>
      <c r="AA1071" s="9"/>
      <c r="AB1071" s="212"/>
      <c r="AC1071" s="9"/>
      <c r="AD1071" s="9"/>
      <c r="AE1071" s="10"/>
      <c r="AF1071" s="10"/>
      <c r="AG1071" s="10"/>
      <c r="AH1071" s="10"/>
      <c r="AI1071" s="10"/>
      <c r="AJ1071" s="10"/>
      <c r="AK1071" s="10"/>
      <c r="AL1071" s="10"/>
      <c r="AM1071" s="10"/>
    </row>
    <row r="1072" spans="1:39" ht="15.75" customHeight="1" x14ac:dyDescent="0.2">
      <c r="A1072" s="9"/>
      <c r="B1072" s="9"/>
      <c r="C1072" s="9"/>
      <c r="D1072" s="9"/>
      <c r="E1072" s="9"/>
      <c r="F1072" s="9"/>
      <c r="G1072" s="9"/>
      <c r="H1072" s="9"/>
      <c r="I1072" s="9"/>
      <c r="J1072" s="9"/>
      <c r="K1072" s="9"/>
      <c r="L1072" s="9"/>
      <c r="M1072" s="9"/>
      <c r="N1072" s="9"/>
      <c r="O1072" s="9"/>
      <c r="P1072" s="212"/>
      <c r="Q1072" s="9"/>
      <c r="R1072" s="9"/>
      <c r="S1072" s="9"/>
      <c r="T1072" s="9"/>
      <c r="U1072" s="9"/>
      <c r="V1072" s="9"/>
      <c r="W1072" s="9"/>
      <c r="X1072" s="9"/>
      <c r="Y1072" s="9"/>
      <c r="Z1072" s="9"/>
      <c r="AA1072" s="9"/>
      <c r="AB1072" s="212"/>
      <c r="AC1072" s="9"/>
      <c r="AD1072" s="9"/>
      <c r="AE1072" s="10"/>
      <c r="AF1072" s="10"/>
      <c r="AG1072" s="10"/>
      <c r="AH1072" s="10"/>
      <c r="AI1072" s="10"/>
      <c r="AJ1072" s="10"/>
      <c r="AK1072" s="10"/>
      <c r="AL1072" s="10"/>
      <c r="AM1072" s="10"/>
    </row>
    <row r="1073" spans="1:39" ht="15.75" customHeight="1" x14ac:dyDescent="0.2">
      <c r="A1073" s="9"/>
      <c r="B1073" s="9"/>
      <c r="C1073" s="9"/>
      <c r="D1073" s="9"/>
      <c r="E1073" s="9"/>
      <c r="F1073" s="9"/>
      <c r="G1073" s="9"/>
      <c r="H1073" s="9"/>
      <c r="I1073" s="9"/>
      <c r="J1073" s="9"/>
      <c r="K1073" s="9"/>
      <c r="L1073" s="9"/>
      <c r="M1073" s="9"/>
      <c r="N1073" s="9"/>
      <c r="O1073" s="9"/>
      <c r="P1073" s="212"/>
      <c r="Q1073" s="9"/>
      <c r="R1073" s="9"/>
      <c r="S1073" s="9"/>
      <c r="T1073" s="9"/>
      <c r="U1073" s="9"/>
      <c r="V1073" s="9"/>
      <c r="W1073" s="9"/>
      <c r="X1073" s="9"/>
      <c r="Y1073" s="9"/>
      <c r="Z1073" s="9"/>
      <c r="AA1073" s="9"/>
      <c r="AB1073" s="212"/>
      <c r="AC1073" s="9"/>
      <c r="AD1073" s="9"/>
      <c r="AE1073" s="10"/>
      <c r="AF1073" s="10"/>
      <c r="AG1073" s="10"/>
      <c r="AH1073" s="10"/>
      <c r="AI1073" s="10"/>
      <c r="AJ1073" s="10"/>
      <c r="AK1073" s="10"/>
      <c r="AL1073" s="10"/>
      <c r="AM1073" s="10"/>
    </row>
    <row r="1074" spans="1:39" ht="15.75" customHeight="1" x14ac:dyDescent="0.2">
      <c r="A1074" s="9"/>
      <c r="B1074" s="9"/>
      <c r="C1074" s="9"/>
      <c r="D1074" s="9"/>
      <c r="E1074" s="9"/>
      <c r="F1074" s="9"/>
      <c r="G1074" s="9"/>
      <c r="H1074" s="9"/>
      <c r="I1074" s="9"/>
      <c r="J1074" s="9"/>
      <c r="K1074" s="9"/>
      <c r="L1074" s="9"/>
      <c r="M1074" s="9"/>
      <c r="N1074" s="9"/>
      <c r="O1074" s="9"/>
      <c r="P1074" s="212"/>
      <c r="Q1074" s="9"/>
      <c r="R1074" s="9"/>
      <c r="S1074" s="9"/>
      <c r="T1074" s="9"/>
      <c r="U1074" s="9"/>
      <c r="V1074" s="9"/>
      <c r="W1074" s="9"/>
      <c r="X1074" s="9"/>
      <c r="Y1074" s="9"/>
      <c r="Z1074" s="9"/>
      <c r="AA1074" s="9"/>
      <c r="AB1074" s="212"/>
      <c r="AC1074" s="9"/>
      <c r="AD1074" s="9"/>
      <c r="AE1074" s="10"/>
      <c r="AF1074" s="10"/>
      <c r="AG1074" s="10"/>
      <c r="AH1074" s="10"/>
      <c r="AI1074" s="10"/>
      <c r="AJ1074" s="10"/>
      <c r="AK1074" s="10"/>
      <c r="AL1074" s="10"/>
      <c r="AM1074" s="10"/>
    </row>
    <row r="1075" spans="1:39" ht="15.75" customHeight="1" x14ac:dyDescent="0.2">
      <c r="A1075" s="9"/>
      <c r="B1075" s="9"/>
      <c r="C1075" s="9"/>
      <c r="D1075" s="9"/>
      <c r="E1075" s="9"/>
      <c r="F1075" s="9"/>
      <c r="G1075" s="9"/>
      <c r="H1075" s="9"/>
      <c r="I1075" s="9"/>
      <c r="J1075" s="9"/>
      <c r="K1075" s="9"/>
      <c r="L1075" s="9"/>
      <c r="M1075" s="9"/>
      <c r="N1075" s="9"/>
      <c r="O1075" s="9"/>
      <c r="P1075" s="212"/>
      <c r="Q1075" s="9"/>
      <c r="R1075" s="9"/>
      <c r="S1075" s="9"/>
      <c r="T1075" s="9"/>
      <c r="U1075" s="9"/>
      <c r="V1075" s="9"/>
      <c r="W1075" s="9"/>
      <c r="X1075" s="9"/>
      <c r="Y1075" s="9"/>
      <c r="Z1075" s="9"/>
      <c r="AA1075" s="9"/>
      <c r="AB1075" s="212"/>
      <c r="AC1075" s="9"/>
      <c r="AD1075" s="9"/>
      <c r="AE1075" s="10"/>
      <c r="AF1075" s="10"/>
      <c r="AG1075" s="10"/>
      <c r="AH1075" s="10"/>
      <c r="AI1075" s="10"/>
      <c r="AJ1075" s="10"/>
      <c r="AK1075" s="10"/>
      <c r="AL1075" s="10"/>
      <c r="AM1075" s="10"/>
    </row>
    <row r="1076" spans="1:39" ht="15.75" customHeight="1" x14ac:dyDescent="0.2">
      <c r="A1076" s="9"/>
      <c r="B1076" s="9"/>
      <c r="C1076" s="9"/>
      <c r="D1076" s="9"/>
      <c r="E1076" s="9"/>
      <c r="F1076" s="9"/>
      <c r="G1076" s="9"/>
      <c r="H1076" s="9"/>
      <c r="I1076" s="9"/>
      <c r="J1076" s="9"/>
      <c r="K1076" s="9"/>
      <c r="L1076" s="9"/>
      <c r="M1076" s="9"/>
      <c r="N1076" s="9"/>
      <c r="O1076" s="9"/>
      <c r="P1076" s="212"/>
      <c r="Q1076" s="9"/>
      <c r="R1076" s="9"/>
      <c r="S1076" s="9"/>
      <c r="T1076" s="9"/>
      <c r="U1076" s="9"/>
      <c r="V1076" s="9"/>
      <c r="W1076" s="9"/>
      <c r="X1076" s="9"/>
      <c r="Y1076" s="9"/>
      <c r="Z1076" s="9"/>
      <c r="AA1076" s="9"/>
      <c r="AB1076" s="212"/>
      <c r="AC1076" s="9"/>
      <c r="AD1076" s="9"/>
      <c r="AE1076" s="10"/>
      <c r="AF1076" s="10"/>
      <c r="AG1076" s="10"/>
      <c r="AH1076" s="10"/>
      <c r="AI1076" s="10"/>
      <c r="AJ1076" s="10"/>
      <c r="AK1076" s="10"/>
      <c r="AL1076" s="10"/>
      <c r="AM1076" s="10"/>
    </row>
    <row r="1077" spans="1:39" ht="15.75" customHeight="1" x14ac:dyDescent="0.2">
      <c r="A1077" s="9"/>
      <c r="B1077" s="9"/>
      <c r="C1077" s="9"/>
      <c r="D1077" s="9"/>
      <c r="E1077" s="9"/>
      <c r="F1077" s="9"/>
      <c r="G1077" s="9"/>
      <c r="H1077" s="9"/>
      <c r="I1077" s="9"/>
      <c r="J1077" s="9"/>
      <c r="K1077" s="9"/>
      <c r="L1077" s="9"/>
      <c r="M1077" s="9"/>
      <c r="N1077" s="9"/>
      <c r="O1077" s="9"/>
      <c r="P1077" s="212"/>
      <c r="Q1077" s="9"/>
      <c r="R1077" s="9"/>
      <c r="S1077" s="9"/>
      <c r="T1077" s="9"/>
      <c r="U1077" s="9"/>
      <c r="V1077" s="9"/>
      <c r="W1077" s="9"/>
      <c r="X1077" s="9"/>
      <c r="Y1077" s="9"/>
      <c r="Z1077" s="9"/>
      <c r="AA1077" s="9"/>
      <c r="AB1077" s="212"/>
      <c r="AC1077" s="9"/>
      <c r="AD1077" s="9"/>
      <c r="AE1077" s="10"/>
      <c r="AF1077" s="10"/>
      <c r="AG1077" s="10"/>
      <c r="AH1077" s="10"/>
      <c r="AI1077" s="10"/>
      <c r="AJ1077" s="10"/>
      <c r="AK1077" s="10"/>
      <c r="AL1077" s="10"/>
      <c r="AM1077" s="10"/>
    </row>
    <row r="1078" spans="1:39" ht="15.75" customHeight="1" x14ac:dyDescent="0.2">
      <c r="A1078" s="9"/>
      <c r="B1078" s="9"/>
      <c r="C1078" s="9"/>
      <c r="D1078" s="9"/>
      <c r="E1078" s="9"/>
      <c r="F1078" s="9"/>
      <c r="G1078" s="9"/>
      <c r="H1078" s="9"/>
      <c r="I1078" s="9"/>
      <c r="J1078" s="9"/>
      <c r="K1078" s="9"/>
      <c r="L1078" s="9"/>
      <c r="M1078" s="9"/>
      <c r="N1078" s="9"/>
      <c r="O1078" s="9"/>
      <c r="P1078" s="212"/>
      <c r="Q1078" s="9"/>
      <c r="R1078" s="9"/>
      <c r="S1078" s="9"/>
      <c r="T1078" s="9"/>
      <c r="U1078" s="9"/>
      <c r="V1078" s="9"/>
      <c r="W1078" s="9"/>
      <c r="X1078" s="9"/>
      <c r="Y1078" s="9"/>
      <c r="Z1078" s="9"/>
      <c r="AA1078" s="9"/>
      <c r="AB1078" s="212"/>
      <c r="AC1078" s="9"/>
      <c r="AD1078" s="9"/>
      <c r="AE1078" s="10"/>
      <c r="AF1078" s="10"/>
      <c r="AG1078" s="10"/>
      <c r="AH1078" s="10"/>
      <c r="AI1078" s="10"/>
      <c r="AJ1078" s="10"/>
      <c r="AK1078" s="10"/>
      <c r="AL1078" s="10"/>
      <c r="AM1078" s="10"/>
    </row>
    <row r="1079" spans="1:39" ht="15.75" customHeight="1" x14ac:dyDescent="0.2">
      <c r="A1079" s="9"/>
      <c r="B1079" s="9"/>
      <c r="C1079" s="9"/>
      <c r="D1079" s="9"/>
      <c r="E1079" s="9"/>
      <c r="F1079" s="9"/>
      <c r="G1079" s="9"/>
      <c r="H1079" s="9"/>
      <c r="I1079" s="9"/>
      <c r="J1079" s="9"/>
      <c r="K1079" s="9"/>
      <c r="L1079" s="9"/>
      <c r="M1079" s="9"/>
      <c r="N1079" s="9"/>
      <c r="O1079" s="9"/>
      <c r="P1079" s="212"/>
      <c r="Q1079" s="9"/>
      <c r="R1079" s="9"/>
      <c r="S1079" s="9"/>
      <c r="T1079" s="9"/>
      <c r="U1079" s="9"/>
      <c r="V1079" s="9"/>
      <c r="W1079" s="9"/>
      <c r="X1079" s="9"/>
      <c r="Y1079" s="9"/>
      <c r="Z1079" s="9"/>
      <c r="AA1079" s="9"/>
      <c r="AB1079" s="212"/>
      <c r="AC1079" s="9"/>
      <c r="AD1079" s="9"/>
      <c r="AE1079" s="10"/>
      <c r="AF1079" s="10"/>
      <c r="AG1079" s="10"/>
      <c r="AH1079" s="10"/>
      <c r="AI1079" s="10"/>
      <c r="AJ1079" s="10"/>
      <c r="AK1079" s="10"/>
      <c r="AL1079" s="10"/>
      <c r="AM1079" s="10"/>
    </row>
    <row r="1080" spans="1:39" ht="15.75" customHeight="1" x14ac:dyDescent="0.2">
      <c r="A1080" s="9"/>
      <c r="B1080" s="9"/>
      <c r="C1080" s="9"/>
      <c r="D1080" s="9"/>
      <c r="E1080" s="9"/>
      <c r="F1080" s="9"/>
      <c r="G1080" s="9"/>
      <c r="H1080" s="9"/>
      <c r="I1080" s="9"/>
      <c r="J1080" s="9"/>
      <c r="K1080" s="9"/>
      <c r="L1080" s="9"/>
      <c r="M1080" s="9"/>
      <c r="N1080" s="9"/>
      <c r="O1080" s="9"/>
      <c r="P1080" s="212"/>
      <c r="Q1080" s="9"/>
      <c r="R1080" s="9"/>
      <c r="S1080" s="9"/>
      <c r="T1080" s="9"/>
      <c r="U1080" s="9"/>
      <c r="V1080" s="9"/>
      <c r="W1080" s="9"/>
      <c r="X1080" s="9"/>
      <c r="Y1080" s="9"/>
      <c r="Z1080" s="9"/>
      <c r="AA1080" s="9"/>
      <c r="AB1080" s="212"/>
      <c r="AC1080" s="9"/>
      <c r="AD1080" s="9"/>
      <c r="AE1080" s="10"/>
      <c r="AF1080" s="10"/>
      <c r="AG1080" s="10"/>
      <c r="AH1080" s="10"/>
      <c r="AI1080" s="10"/>
      <c r="AJ1080" s="10"/>
      <c r="AK1080" s="10"/>
      <c r="AL1080" s="10"/>
      <c r="AM1080" s="10"/>
    </row>
    <row r="1081" spans="1:39" ht="15.75" customHeight="1" x14ac:dyDescent="0.2">
      <c r="A1081" s="9"/>
      <c r="B1081" s="9"/>
      <c r="C1081" s="9"/>
      <c r="D1081" s="9"/>
      <c r="E1081" s="9"/>
      <c r="F1081" s="9"/>
      <c r="G1081" s="9"/>
      <c r="H1081" s="9"/>
      <c r="I1081" s="9"/>
      <c r="J1081" s="9"/>
      <c r="K1081" s="9"/>
      <c r="L1081" s="9"/>
      <c r="M1081" s="9"/>
      <c r="N1081" s="9"/>
      <c r="O1081" s="9"/>
      <c r="P1081" s="212"/>
      <c r="Q1081" s="9"/>
      <c r="R1081" s="9"/>
      <c r="S1081" s="9"/>
      <c r="T1081" s="9"/>
      <c r="U1081" s="9"/>
      <c r="V1081" s="9"/>
      <c r="W1081" s="9"/>
      <c r="X1081" s="9"/>
      <c r="Y1081" s="9"/>
      <c r="Z1081" s="9"/>
      <c r="AA1081" s="9"/>
      <c r="AB1081" s="212"/>
      <c r="AC1081" s="9"/>
      <c r="AD1081" s="9"/>
      <c r="AE1081" s="10"/>
      <c r="AF1081" s="10"/>
      <c r="AG1081" s="10"/>
      <c r="AH1081" s="10"/>
      <c r="AI1081" s="10"/>
      <c r="AJ1081" s="10"/>
      <c r="AK1081" s="10"/>
      <c r="AL1081" s="10"/>
      <c r="AM1081" s="10"/>
    </row>
    <row r="1082" spans="1:39" ht="15.75" customHeight="1" x14ac:dyDescent="0.2">
      <c r="A1082" s="9"/>
      <c r="B1082" s="9"/>
      <c r="C1082" s="9"/>
      <c r="D1082" s="9"/>
      <c r="E1082" s="9"/>
      <c r="F1082" s="9"/>
      <c r="G1082" s="9"/>
      <c r="H1082" s="9"/>
      <c r="I1082" s="9"/>
      <c r="J1082" s="9"/>
      <c r="K1082" s="9"/>
      <c r="L1082" s="9"/>
      <c r="M1082" s="9"/>
      <c r="N1082" s="9"/>
      <c r="O1082" s="9"/>
      <c r="P1082" s="212"/>
      <c r="Q1082" s="9"/>
      <c r="R1082" s="9"/>
      <c r="S1082" s="9"/>
      <c r="T1082" s="9"/>
      <c r="U1082" s="9"/>
      <c r="V1082" s="9"/>
      <c r="W1082" s="9"/>
      <c r="X1082" s="9"/>
      <c r="Y1082" s="9"/>
      <c r="Z1082" s="9"/>
      <c r="AA1082" s="9"/>
      <c r="AB1082" s="212"/>
      <c r="AC1082" s="9"/>
      <c r="AD1082" s="9"/>
      <c r="AE1082" s="10"/>
      <c r="AF1082" s="10"/>
      <c r="AG1082" s="10"/>
      <c r="AH1082" s="10"/>
      <c r="AI1082" s="10"/>
      <c r="AJ1082" s="10"/>
      <c r="AK1082" s="10"/>
      <c r="AL1082" s="10"/>
      <c r="AM1082" s="10"/>
    </row>
    <row r="1083" spans="1:39" ht="15.75" customHeight="1" x14ac:dyDescent="0.2">
      <c r="A1083" s="9"/>
      <c r="B1083" s="9"/>
      <c r="C1083" s="9"/>
      <c r="D1083" s="9"/>
      <c r="E1083" s="9"/>
      <c r="F1083" s="9"/>
      <c r="G1083" s="9"/>
      <c r="H1083" s="9"/>
      <c r="I1083" s="9"/>
      <c r="J1083" s="9"/>
      <c r="K1083" s="9"/>
      <c r="L1083" s="9"/>
      <c r="M1083" s="9"/>
      <c r="N1083" s="9"/>
      <c r="O1083" s="9"/>
      <c r="P1083" s="212"/>
      <c r="Q1083" s="9"/>
      <c r="R1083" s="9"/>
      <c r="S1083" s="9"/>
      <c r="T1083" s="9"/>
      <c r="U1083" s="9"/>
      <c r="V1083" s="9"/>
      <c r="W1083" s="9"/>
      <c r="X1083" s="9"/>
      <c r="Y1083" s="9"/>
      <c r="Z1083" s="9"/>
      <c r="AA1083" s="9"/>
      <c r="AB1083" s="212"/>
      <c r="AC1083" s="9"/>
      <c r="AD1083" s="9"/>
      <c r="AE1083" s="10"/>
      <c r="AF1083" s="10"/>
      <c r="AG1083" s="10"/>
      <c r="AH1083" s="10"/>
      <c r="AI1083" s="10"/>
      <c r="AJ1083" s="10"/>
      <c r="AK1083" s="10"/>
      <c r="AL1083" s="10"/>
      <c r="AM1083" s="10"/>
    </row>
    <row r="1084" spans="1:39" ht="15.75" customHeight="1" x14ac:dyDescent="0.2">
      <c r="A1084" s="9"/>
      <c r="B1084" s="9"/>
      <c r="C1084" s="9"/>
      <c r="D1084" s="9"/>
      <c r="E1084" s="9"/>
      <c r="F1084" s="9"/>
      <c r="G1084" s="9"/>
      <c r="H1084" s="9"/>
      <c r="I1084" s="9"/>
      <c r="J1084" s="9"/>
      <c r="K1084" s="9"/>
      <c r="L1084" s="9"/>
      <c r="M1084" s="9"/>
      <c r="N1084" s="9"/>
      <c r="O1084" s="9"/>
      <c r="P1084" s="212"/>
      <c r="Q1084" s="9"/>
      <c r="R1084" s="9"/>
      <c r="S1084" s="9"/>
      <c r="T1084" s="9"/>
      <c r="U1084" s="9"/>
      <c r="V1084" s="9"/>
      <c r="W1084" s="9"/>
      <c r="X1084" s="9"/>
      <c r="Y1084" s="9"/>
      <c r="Z1084" s="9"/>
      <c r="AA1084" s="9"/>
      <c r="AB1084" s="212"/>
      <c r="AC1084" s="9"/>
      <c r="AD1084" s="9"/>
      <c r="AE1084" s="10"/>
      <c r="AF1084" s="10"/>
      <c r="AG1084" s="10"/>
      <c r="AH1084" s="10"/>
      <c r="AI1084" s="10"/>
      <c r="AJ1084" s="10"/>
      <c r="AK1084" s="10"/>
      <c r="AL1084" s="10"/>
      <c r="AM1084" s="10"/>
    </row>
    <row r="1085" spans="1:39" ht="15.75" customHeight="1" x14ac:dyDescent="0.2">
      <c r="A1085" s="9"/>
      <c r="B1085" s="9"/>
      <c r="C1085" s="9"/>
      <c r="D1085" s="9"/>
      <c r="E1085" s="9"/>
      <c r="F1085" s="9"/>
      <c r="G1085" s="9"/>
      <c r="H1085" s="9"/>
      <c r="I1085" s="9"/>
      <c r="J1085" s="9"/>
      <c r="K1085" s="9"/>
      <c r="L1085" s="9"/>
      <c r="M1085" s="9"/>
      <c r="N1085" s="9"/>
      <c r="O1085" s="9"/>
      <c r="P1085" s="212"/>
      <c r="Q1085" s="9"/>
      <c r="R1085" s="9"/>
      <c r="S1085" s="9"/>
      <c r="T1085" s="9"/>
      <c r="U1085" s="9"/>
      <c r="V1085" s="9"/>
      <c r="W1085" s="9"/>
      <c r="X1085" s="9"/>
      <c r="Y1085" s="9"/>
      <c r="Z1085" s="9"/>
      <c r="AA1085" s="9"/>
      <c r="AB1085" s="212"/>
      <c r="AC1085" s="9"/>
      <c r="AD1085" s="9"/>
      <c r="AE1085" s="10"/>
      <c r="AF1085" s="10"/>
      <c r="AG1085" s="10"/>
      <c r="AH1085" s="10"/>
      <c r="AI1085" s="10"/>
      <c r="AJ1085" s="10"/>
      <c r="AK1085" s="10"/>
      <c r="AL1085" s="10"/>
      <c r="AM1085" s="10"/>
    </row>
    <row r="1086" spans="1:39" ht="15.75" customHeight="1" x14ac:dyDescent="0.2">
      <c r="A1086" s="9"/>
      <c r="B1086" s="9"/>
      <c r="C1086" s="9"/>
      <c r="D1086" s="9"/>
      <c r="E1086" s="9"/>
      <c r="F1086" s="9"/>
      <c r="G1086" s="9"/>
      <c r="H1086" s="9"/>
      <c r="I1086" s="9"/>
      <c r="J1086" s="9"/>
      <c r="K1086" s="9"/>
      <c r="L1086" s="9"/>
      <c r="M1086" s="9"/>
      <c r="N1086" s="9"/>
      <c r="O1086" s="9"/>
      <c r="P1086" s="212"/>
      <c r="Q1086" s="9"/>
      <c r="R1086" s="9"/>
      <c r="S1086" s="9"/>
      <c r="T1086" s="9"/>
      <c r="U1086" s="9"/>
      <c r="V1086" s="9"/>
      <c r="W1086" s="9"/>
      <c r="X1086" s="9"/>
      <c r="Y1086" s="9"/>
      <c r="Z1086" s="9"/>
      <c r="AA1086" s="9"/>
      <c r="AB1086" s="212"/>
      <c r="AC1086" s="9"/>
      <c r="AD1086" s="9"/>
      <c r="AE1086" s="10"/>
      <c r="AF1086" s="10"/>
      <c r="AG1086" s="10"/>
      <c r="AH1086" s="10"/>
      <c r="AI1086" s="10"/>
      <c r="AJ1086" s="10"/>
      <c r="AK1086" s="10"/>
      <c r="AL1086" s="10"/>
      <c r="AM1086" s="10"/>
    </row>
    <row r="1087" spans="1:39" ht="15.75" customHeight="1" x14ac:dyDescent="0.2">
      <c r="A1087" s="9"/>
      <c r="B1087" s="9"/>
      <c r="C1087" s="9"/>
      <c r="D1087" s="9"/>
      <c r="E1087" s="9"/>
      <c r="F1087" s="9"/>
      <c r="G1087" s="9"/>
      <c r="H1087" s="9"/>
      <c r="I1087" s="9"/>
      <c r="J1087" s="9"/>
      <c r="K1087" s="9"/>
      <c r="L1087" s="9"/>
      <c r="M1087" s="9"/>
      <c r="N1087" s="9"/>
      <c r="O1087" s="9"/>
      <c r="P1087" s="212"/>
      <c r="Q1087" s="9"/>
      <c r="R1087" s="9"/>
      <c r="S1087" s="9"/>
      <c r="T1087" s="9"/>
      <c r="U1087" s="9"/>
      <c r="V1087" s="9"/>
      <c r="W1087" s="9"/>
      <c r="X1087" s="9"/>
      <c r="Y1087" s="9"/>
      <c r="Z1087" s="9"/>
      <c r="AA1087" s="9"/>
      <c r="AB1087" s="212"/>
      <c r="AC1087" s="9"/>
      <c r="AD1087" s="9"/>
      <c r="AE1087" s="10"/>
      <c r="AF1087" s="10"/>
      <c r="AG1087" s="10"/>
      <c r="AH1087" s="10"/>
      <c r="AI1087" s="10"/>
      <c r="AJ1087" s="10"/>
      <c r="AK1087" s="10"/>
      <c r="AL1087" s="10"/>
      <c r="AM1087" s="10"/>
    </row>
    <row r="1088" spans="1:39" ht="15.75" customHeight="1" x14ac:dyDescent="0.2">
      <c r="A1088" s="9"/>
      <c r="B1088" s="9"/>
      <c r="C1088" s="9"/>
      <c r="D1088" s="9"/>
      <c r="E1088" s="9"/>
      <c r="F1088" s="9"/>
      <c r="G1088" s="9"/>
      <c r="H1088" s="9"/>
      <c r="I1088" s="9"/>
      <c r="J1088" s="9"/>
      <c r="K1088" s="9"/>
      <c r="L1088" s="9"/>
      <c r="M1088" s="9"/>
      <c r="N1088" s="9"/>
      <c r="O1088" s="9"/>
      <c r="P1088" s="212"/>
      <c r="Q1088" s="9"/>
      <c r="R1088" s="9"/>
      <c r="S1088" s="9"/>
      <c r="T1088" s="9"/>
      <c r="U1088" s="9"/>
      <c r="V1088" s="9"/>
      <c r="W1088" s="9"/>
      <c r="X1088" s="9"/>
      <c r="Y1088" s="9"/>
      <c r="Z1088" s="9"/>
      <c r="AA1088" s="9"/>
      <c r="AB1088" s="212"/>
      <c r="AC1088" s="9"/>
      <c r="AD1088" s="9"/>
      <c r="AE1088" s="10"/>
      <c r="AF1088" s="10"/>
      <c r="AG1088" s="10"/>
      <c r="AH1088" s="10"/>
      <c r="AI1088" s="10"/>
      <c r="AJ1088" s="10"/>
      <c r="AK1088" s="10"/>
      <c r="AL1088" s="10"/>
      <c r="AM1088" s="10"/>
    </row>
    <row r="1089" spans="1:39" ht="15.75" customHeight="1" x14ac:dyDescent="0.2">
      <c r="A1089" s="9"/>
      <c r="B1089" s="9"/>
      <c r="C1089" s="9"/>
      <c r="D1089" s="9"/>
      <c r="E1089" s="9"/>
      <c r="F1089" s="9"/>
      <c r="G1089" s="9"/>
      <c r="H1089" s="9"/>
      <c r="I1089" s="9"/>
      <c r="J1089" s="9"/>
      <c r="K1089" s="9"/>
      <c r="L1089" s="9"/>
      <c r="M1089" s="9"/>
      <c r="N1089" s="9"/>
      <c r="O1089" s="9"/>
      <c r="P1089" s="212"/>
      <c r="Q1089" s="9"/>
      <c r="R1089" s="9"/>
      <c r="S1089" s="9"/>
      <c r="T1089" s="9"/>
      <c r="U1089" s="9"/>
      <c r="V1089" s="9"/>
      <c r="W1089" s="9"/>
      <c r="X1089" s="9"/>
      <c r="Y1089" s="9"/>
      <c r="Z1089" s="9"/>
      <c r="AA1089" s="9"/>
      <c r="AB1089" s="212"/>
      <c r="AC1089" s="9"/>
      <c r="AD1089" s="9"/>
      <c r="AE1089" s="10"/>
      <c r="AF1089" s="10"/>
      <c r="AG1089" s="10"/>
      <c r="AH1089" s="10"/>
      <c r="AI1089" s="10"/>
      <c r="AJ1089" s="10"/>
      <c r="AK1089" s="10"/>
      <c r="AL1089" s="10"/>
      <c r="AM1089" s="10"/>
    </row>
    <row r="1090" spans="1:39" ht="15.75" customHeight="1" x14ac:dyDescent="0.2">
      <c r="A1090" s="9"/>
      <c r="B1090" s="9"/>
      <c r="C1090" s="9"/>
      <c r="D1090" s="9"/>
      <c r="E1090" s="9"/>
      <c r="F1090" s="9"/>
      <c r="G1090" s="9"/>
      <c r="H1090" s="9"/>
      <c r="I1090" s="9"/>
      <c r="J1090" s="9"/>
      <c r="K1090" s="9"/>
      <c r="L1090" s="9"/>
      <c r="M1090" s="9"/>
      <c r="N1090" s="9"/>
      <c r="O1090" s="9"/>
      <c r="P1090" s="212"/>
      <c r="Q1090" s="9"/>
      <c r="R1090" s="9"/>
      <c r="S1090" s="9"/>
      <c r="T1090" s="9"/>
      <c r="U1090" s="9"/>
      <c r="V1090" s="9"/>
      <c r="W1090" s="9"/>
      <c r="X1090" s="9"/>
      <c r="Y1090" s="9"/>
      <c r="Z1090" s="9"/>
      <c r="AA1090" s="9"/>
      <c r="AB1090" s="212"/>
      <c r="AC1090" s="9"/>
      <c r="AD1090" s="9"/>
      <c r="AE1090" s="10"/>
      <c r="AF1090" s="10"/>
      <c r="AG1090" s="10"/>
      <c r="AH1090" s="10"/>
      <c r="AI1090" s="10"/>
      <c r="AJ1090" s="10"/>
      <c r="AK1090" s="10"/>
      <c r="AL1090" s="10"/>
      <c r="AM1090" s="10"/>
    </row>
    <row r="1091" spans="1:39" ht="15.75" customHeight="1" x14ac:dyDescent="0.2">
      <c r="A1091" s="9"/>
      <c r="B1091" s="9"/>
      <c r="C1091" s="9"/>
      <c r="D1091" s="9"/>
      <c r="E1091" s="9"/>
      <c r="F1091" s="9"/>
      <c r="G1091" s="9"/>
      <c r="H1091" s="9"/>
      <c r="I1091" s="9"/>
      <c r="J1091" s="9"/>
      <c r="K1091" s="9"/>
      <c r="L1091" s="9"/>
      <c r="M1091" s="9"/>
      <c r="N1091" s="9"/>
      <c r="O1091" s="9"/>
      <c r="P1091" s="212"/>
      <c r="Q1091" s="9"/>
      <c r="R1091" s="9"/>
      <c r="S1091" s="9"/>
      <c r="T1091" s="9"/>
      <c r="U1091" s="9"/>
      <c r="V1091" s="9"/>
      <c r="W1091" s="9"/>
      <c r="X1091" s="9"/>
      <c r="Y1091" s="9"/>
      <c r="Z1091" s="9"/>
      <c r="AA1091" s="9"/>
      <c r="AB1091" s="212"/>
      <c r="AC1091" s="9"/>
      <c r="AD1091" s="9"/>
      <c r="AE1091" s="10"/>
      <c r="AF1091" s="10"/>
      <c r="AG1091" s="10"/>
      <c r="AH1091" s="10"/>
      <c r="AI1091" s="10"/>
      <c r="AJ1091" s="10"/>
      <c r="AK1091" s="10"/>
      <c r="AL1091" s="10"/>
      <c r="AM1091" s="10"/>
    </row>
    <row r="1092" spans="1:39" ht="15.75" customHeight="1" x14ac:dyDescent="0.2">
      <c r="A1092" s="9"/>
      <c r="B1092" s="9"/>
      <c r="C1092" s="9"/>
      <c r="D1092" s="9"/>
      <c r="E1092" s="9"/>
      <c r="F1092" s="9"/>
      <c r="G1092" s="9"/>
      <c r="H1092" s="9"/>
      <c r="I1092" s="9"/>
      <c r="J1092" s="9"/>
      <c r="K1092" s="9"/>
      <c r="L1092" s="9"/>
      <c r="M1092" s="9"/>
      <c r="N1092" s="9"/>
      <c r="O1092" s="9"/>
      <c r="P1092" s="212"/>
      <c r="Q1092" s="9"/>
      <c r="R1092" s="9"/>
      <c r="S1092" s="9"/>
      <c r="T1092" s="9"/>
      <c r="U1092" s="9"/>
      <c r="V1092" s="9"/>
      <c r="W1092" s="9"/>
      <c r="X1092" s="9"/>
      <c r="Y1092" s="9"/>
      <c r="Z1092" s="9"/>
      <c r="AA1092" s="9"/>
      <c r="AB1092" s="212"/>
      <c r="AC1092" s="9"/>
      <c r="AD1092" s="9"/>
      <c r="AE1092" s="10"/>
      <c r="AF1092" s="10"/>
      <c r="AG1092" s="10"/>
      <c r="AH1092" s="10"/>
      <c r="AI1092" s="10"/>
      <c r="AJ1092" s="10"/>
      <c r="AK1092" s="10"/>
      <c r="AL1092" s="10"/>
      <c r="AM1092" s="10"/>
    </row>
    <row r="1093" spans="1:39" ht="15.75" customHeight="1" x14ac:dyDescent="0.2">
      <c r="A1093" s="9"/>
      <c r="B1093" s="9"/>
      <c r="C1093" s="9"/>
      <c r="D1093" s="9"/>
      <c r="E1093" s="9"/>
      <c r="F1093" s="9"/>
      <c r="G1093" s="9"/>
      <c r="H1093" s="9"/>
      <c r="I1093" s="9"/>
      <c r="J1093" s="9"/>
      <c r="K1093" s="9"/>
      <c r="L1093" s="9"/>
      <c r="M1093" s="9"/>
      <c r="N1093" s="9"/>
      <c r="O1093" s="9"/>
      <c r="P1093" s="212"/>
      <c r="Q1093" s="9"/>
      <c r="R1093" s="9"/>
      <c r="S1093" s="9"/>
      <c r="T1093" s="9"/>
      <c r="U1093" s="9"/>
      <c r="V1093" s="9"/>
      <c r="W1093" s="9"/>
      <c r="X1093" s="9"/>
      <c r="Y1093" s="9"/>
      <c r="Z1093" s="9"/>
      <c r="AA1093" s="9"/>
      <c r="AB1093" s="212"/>
      <c r="AC1093" s="9"/>
      <c r="AD1093" s="9"/>
      <c r="AE1093" s="10"/>
      <c r="AF1093" s="10"/>
      <c r="AG1093" s="10"/>
      <c r="AH1093" s="10"/>
      <c r="AI1093" s="10"/>
      <c r="AJ1093" s="10"/>
      <c r="AK1093" s="10"/>
      <c r="AL1093" s="10"/>
      <c r="AM1093" s="10"/>
    </row>
    <row r="1094" spans="1:39" ht="15.75" customHeight="1" x14ac:dyDescent="0.2">
      <c r="A1094" s="9"/>
      <c r="B1094" s="9"/>
      <c r="C1094" s="9"/>
      <c r="D1094" s="9"/>
      <c r="E1094" s="9"/>
      <c r="F1094" s="9"/>
      <c r="G1094" s="9"/>
      <c r="H1094" s="9"/>
      <c r="I1094" s="9"/>
      <c r="J1094" s="9"/>
      <c r="K1094" s="9"/>
      <c r="L1094" s="9"/>
      <c r="M1094" s="9"/>
      <c r="N1094" s="9"/>
      <c r="O1094" s="9"/>
      <c r="P1094" s="212"/>
      <c r="Q1094" s="9"/>
      <c r="R1094" s="9"/>
      <c r="S1094" s="9"/>
      <c r="T1094" s="9"/>
      <c r="U1094" s="9"/>
      <c r="V1094" s="9"/>
      <c r="W1094" s="9"/>
      <c r="X1094" s="9"/>
      <c r="Y1094" s="9"/>
      <c r="Z1094" s="9"/>
      <c r="AA1094" s="9"/>
      <c r="AB1094" s="212"/>
      <c r="AC1094" s="9"/>
      <c r="AD1094" s="9"/>
      <c r="AE1094" s="10"/>
      <c r="AF1094" s="10"/>
      <c r="AG1094" s="10"/>
      <c r="AH1094" s="10"/>
      <c r="AI1094" s="10"/>
      <c r="AJ1094" s="10"/>
      <c r="AK1094" s="10"/>
      <c r="AL1094" s="10"/>
      <c r="AM1094" s="10"/>
    </row>
    <row r="1095" spans="1:39" ht="15.75" customHeight="1" x14ac:dyDescent="0.2">
      <c r="A1095" s="9"/>
      <c r="B1095" s="9"/>
      <c r="C1095" s="9"/>
      <c r="D1095" s="9"/>
      <c r="E1095" s="9"/>
      <c r="F1095" s="9"/>
      <c r="G1095" s="9"/>
      <c r="H1095" s="9"/>
      <c r="I1095" s="9"/>
      <c r="J1095" s="9"/>
      <c r="K1095" s="9"/>
      <c r="L1095" s="9"/>
      <c r="M1095" s="9"/>
      <c r="N1095" s="9"/>
      <c r="O1095" s="9"/>
      <c r="P1095" s="212"/>
      <c r="Q1095" s="9"/>
      <c r="R1095" s="9"/>
      <c r="S1095" s="9"/>
      <c r="T1095" s="9"/>
      <c r="U1095" s="9"/>
      <c r="V1095" s="9"/>
      <c r="W1095" s="9"/>
      <c r="X1095" s="9"/>
      <c r="Y1095" s="9"/>
      <c r="Z1095" s="9"/>
      <c r="AA1095" s="9"/>
      <c r="AB1095" s="212"/>
      <c r="AC1095" s="9"/>
      <c r="AD1095" s="9"/>
      <c r="AE1095" s="10"/>
      <c r="AF1095" s="10"/>
      <c r="AG1095" s="10"/>
      <c r="AH1095" s="10"/>
      <c r="AI1095" s="10"/>
      <c r="AJ1095" s="10"/>
      <c r="AK1095" s="10"/>
      <c r="AL1095" s="10"/>
      <c r="AM1095" s="10"/>
    </row>
    <row r="1096" spans="1:39" ht="15.75" customHeight="1" x14ac:dyDescent="0.2">
      <c r="A1096" s="9"/>
      <c r="B1096" s="9"/>
      <c r="C1096" s="9"/>
      <c r="D1096" s="9"/>
      <c r="E1096" s="9"/>
      <c r="F1096" s="9"/>
      <c r="G1096" s="9"/>
      <c r="H1096" s="9"/>
      <c r="I1096" s="9"/>
      <c r="J1096" s="9"/>
      <c r="K1096" s="9"/>
      <c r="L1096" s="9"/>
      <c r="M1096" s="9"/>
      <c r="N1096" s="9"/>
      <c r="O1096" s="9"/>
      <c r="P1096" s="212"/>
      <c r="Q1096" s="9"/>
      <c r="R1096" s="9"/>
      <c r="S1096" s="9"/>
      <c r="T1096" s="9"/>
      <c r="U1096" s="9"/>
      <c r="V1096" s="9"/>
      <c r="W1096" s="9"/>
      <c r="X1096" s="9"/>
      <c r="Y1096" s="9"/>
      <c r="Z1096" s="9"/>
      <c r="AA1096" s="9"/>
      <c r="AB1096" s="212"/>
      <c r="AC1096" s="9"/>
      <c r="AD1096" s="9"/>
      <c r="AE1096" s="10"/>
      <c r="AF1096" s="10"/>
      <c r="AG1096" s="10"/>
      <c r="AH1096" s="10"/>
      <c r="AI1096" s="10"/>
      <c r="AJ1096" s="10"/>
      <c r="AK1096" s="10"/>
      <c r="AL1096" s="10"/>
      <c r="AM1096" s="10"/>
    </row>
    <row r="1097" spans="1:39" ht="15.75" customHeight="1" x14ac:dyDescent="0.2">
      <c r="A1097" s="9"/>
      <c r="B1097" s="9"/>
      <c r="C1097" s="9"/>
      <c r="D1097" s="9"/>
      <c r="E1097" s="9"/>
      <c r="F1097" s="9"/>
      <c r="G1097" s="9"/>
      <c r="H1097" s="9"/>
      <c r="I1097" s="9"/>
      <c r="J1097" s="9"/>
      <c r="K1097" s="9"/>
      <c r="L1097" s="9"/>
      <c r="M1097" s="9"/>
      <c r="N1097" s="9"/>
      <c r="O1097" s="9"/>
      <c r="P1097" s="212"/>
      <c r="Q1097" s="9"/>
      <c r="R1097" s="9"/>
      <c r="S1097" s="9"/>
      <c r="T1097" s="9"/>
      <c r="U1097" s="9"/>
      <c r="V1097" s="9"/>
      <c r="W1097" s="9"/>
      <c r="X1097" s="9"/>
      <c r="Y1097" s="9"/>
      <c r="Z1097" s="9"/>
      <c r="AA1097" s="9"/>
      <c r="AB1097" s="212"/>
      <c r="AC1097" s="9"/>
      <c r="AD1097" s="9"/>
      <c r="AE1097" s="10"/>
      <c r="AF1097" s="10"/>
      <c r="AG1097" s="10"/>
      <c r="AH1097" s="10"/>
      <c r="AI1097" s="10"/>
      <c r="AJ1097" s="10"/>
      <c r="AK1097" s="10"/>
      <c r="AL1097" s="10"/>
      <c r="AM1097" s="10"/>
    </row>
    <row r="1098" spans="1:39" ht="15.75" customHeight="1" x14ac:dyDescent="0.2">
      <c r="A1098" s="9"/>
      <c r="B1098" s="9"/>
      <c r="C1098" s="9"/>
      <c r="D1098" s="9"/>
      <c r="E1098" s="9"/>
      <c r="F1098" s="9"/>
      <c r="G1098" s="9"/>
      <c r="H1098" s="9"/>
      <c r="I1098" s="9"/>
      <c r="J1098" s="9"/>
      <c r="K1098" s="9"/>
      <c r="L1098" s="9"/>
      <c r="M1098" s="9"/>
      <c r="N1098" s="9"/>
      <c r="O1098" s="9"/>
      <c r="P1098" s="212"/>
      <c r="Q1098" s="9"/>
      <c r="R1098" s="9"/>
      <c r="S1098" s="9"/>
      <c r="T1098" s="9"/>
      <c r="U1098" s="9"/>
      <c r="V1098" s="9"/>
      <c r="W1098" s="9"/>
      <c r="X1098" s="9"/>
      <c r="Y1098" s="9"/>
      <c r="Z1098" s="9"/>
      <c r="AA1098" s="9"/>
      <c r="AB1098" s="212"/>
      <c r="AC1098" s="9"/>
      <c r="AD1098" s="9"/>
      <c r="AE1098" s="10"/>
      <c r="AF1098" s="10"/>
      <c r="AG1098" s="10"/>
      <c r="AH1098" s="10"/>
      <c r="AI1098" s="10"/>
      <c r="AJ1098" s="10"/>
      <c r="AK1098" s="10"/>
      <c r="AL1098" s="10"/>
      <c r="AM1098" s="10"/>
    </row>
    <row r="1099" spans="1:39" ht="15.75" customHeight="1" x14ac:dyDescent="0.2">
      <c r="A1099" s="9"/>
      <c r="B1099" s="9"/>
      <c r="C1099" s="9"/>
      <c r="D1099" s="9"/>
      <c r="E1099" s="9"/>
      <c r="F1099" s="9"/>
      <c r="G1099" s="9"/>
      <c r="H1099" s="9"/>
      <c r="I1099" s="9"/>
      <c r="J1099" s="9"/>
      <c r="K1099" s="9"/>
      <c r="L1099" s="9"/>
      <c r="M1099" s="9"/>
      <c r="N1099" s="9"/>
      <c r="O1099" s="9"/>
      <c r="P1099" s="212"/>
      <c r="Q1099" s="9"/>
      <c r="R1099" s="9"/>
      <c r="S1099" s="9"/>
      <c r="T1099" s="9"/>
      <c r="U1099" s="9"/>
      <c r="V1099" s="9"/>
      <c r="W1099" s="9"/>
      <c r="X1099" s="9"/>
      <c r="Y1099" s="9"/>
      <c r="Z1099" s="9"/>
      <c r="AA1099" s="9"/>
      <c r="AB1099" s="212"/>
      <c r="AC1099" s="9"/>
      <c r="AD1099" s="9"/>
      <c r="AE1099" s="10"/>
      <c r="AF1099" s="10"/>
      <c r="AG1099" s="10"/>
      <c r="AH1099" s="10"/>
      <c r="AI1099" s="10"/>
      <c r="AJ1099" s="10"/>
      <c r="AK1099" s="10"/>
      <c r="AL1099" s="10"/>
      <c r="AM1099" s="10"/>
    </row>
    <row r="1100" spans="1:39" ht="15.75" customHeight="1" x14ac:dyDescent="0.2">
      <c r="A1100" s="9"/>
      <c r="B1100" s="9"/>
      <c r="C1100" s="9"/>
      <c r="D1100" s="9"/>
      <c r="E1100" s="9"/>
      <c r="F1100" s="9"/>
      <c r="G1100" s="9"/>
      <c r="H1100" s="9"/>
      <c r="I1100" s="9"/>
      <c r="J1100" s="9"/>
      <c r="K1100" s="9"/>
      <c r="L1100" s="9"/>
      <c r="M1100" s="9"/>
      <c r="N1100" s="9"/>
      <c r="O1100" s="9"/>
      <c r="P1100" s="212"/>
      <c r="Q1100" s="9"/>
      <c r="R1100" s="9"/>
      <c r="S1100" s="9"/>
      <c r="T1100" s="9"/>
      <c r="U1100" s="9"/>
      <c r="V1100" s="9"/>
      <c r="W1100" s="9"/>
      <c r="X1100" s="9"/>
      <c r="Y1100" s="9"/>
      <c r="Z1100" s="9"/>
      <c r="AA1100" s="9"/>
      <c r="AB1100" s="212"/>
      <c r="AC1100" s="9"/>
      <c r="AD1100" s="9"/>
      <c r="AE1100" s="10"/>
      <c r="AF1100" s="10"/>
      <c r="AG1100" s="10"/>
      <c r="AH1100" s="10"/>
      <c r="AI1100" s="10"/>
      <c r="AJ1100" s="10"/>
      <c r="AK1100" s="10"/>
      <c r="AL1100" s="10"/>
      <c r="AM1100" s="10"/>
    </row>
    <row r="1101" spans="1:39" ht="15.75" customHeight="1" x14ac:dyDescent="0.2">
      <c r="A1101" s="9"/>
      <c r="B1101" s="9"/>
      <c r="C1101" s="9"/>
      <c r="D1101" s="9"/>
      <c r="E1101" s="9"/>
      <c r="F1101" s="9"/>
      <c r="G1101" s="9"/>
      <c r="H1101" s="9"/>
      <c r="I1101" s="9"/>
      <c r="J1101" s="9"/>
      <c r="K1101" s="9"/>
      <c r="L1101" s="9"/>
      <c r="M1101" s="9"/>
      <c r="N1101" s="9"/>
      <c r="O1101" s="9"/>
      <c r="P1101" s="212"/>
      <c r="Q1101" s="9"/>
      <c r="R1101" s="9"/>
      <c r="S1101" s="9"/>
      <c r="T1101" s="9"/>
      <c r="U1101" s="9"/>
      <c r="V1101" s="9"/>
      <c r="W1101" s="9"/>
      <c r="X1101" s="9"/>
      <c r="Y1101" s="9"/>
      <c r="Z1101" s="9"/>
      <c r="AA1101" s="9"/>
      <c r="AB1101" s="212"/>
      <c r="AC1101" s="9"/>
      <c r="AD1101" s="9"/>
      <c r="AE1101" s="10"/>
      <c r="AF1101" s="10"/>
      <c r="AG1101" s="10"/>
      <c r="AH1101" s="10"/>
      <c r="AI1101" s="10"/>
      <c r="AJ1101" s="10"/>
      <c r="AK1101" s="10"/>
      <c r="AL1101" s="10"/>
      <c r="AM1101" s="10"/>
    </row>
    <row r="1102" spans="1:39" ht="15.75" customHeight="1" x14ac:dyDescent="0.2">
      <c r="A1102" s="9"/>
      <c r="B1102" s="9"/>
      <c r="C1102" s="9"/>
      <c r="D1102" s="9"/>
      <c r="E1102" s="9"/>
      <c r="F1102" s="9"/>
      <c r="G1102" s="9"/>
      <c r="H1102" s="9"/>
      <c r="I1102" s="9"/>
      <c r="J1102" s="9"/>
      <c r="K1102" s="9"/>
      <c r="L1102" s="9"/>
      <c r="M1102" s="9"/>
      <c r="N1102" s="9"/>
      <c r="O1102" s="9"/>
      <c r="P1102" s="212"/>
      <c r="Q1102" s="9"/>
      <c r="R1102" s="9"/>
      <c r="S1102" s="9"/>
      <c r="T1102" s="9"/>
      <c r="U1102" s="9"/>
      <c r="V1102" s="9"/>
      <c r="W1102" s="9"/>
      <c r="X1102" s="9"/>
      <c r="Y1102" s="9"/>
      <c r="Z1102" s="9"/>
      <c r="AA1102" s="9"/>
      <c r="AB1102" s="212"/>
      <c r="AC1102" s="9"/>
      <c r="AD1102" s="9"/>
      <c r="AE1102" s="10"/>
      <c r="AF1102" s="10"/>
      <c r="AG1102" s="10"/>
      <c r="AH1102" s="10"/>
      <c r="AI1102" s="10"/>
      <c r="AJ1102" s="10"/>
      <c r="AK1102" s="10"/>
      <c r="AL1102" s="10"/>
      <c r="AM1102" s="10"/>
    </row>
    <row r="1103" spans="1:39" ht="15.75" customHeight="1" x14ac:dyDescent="0.2">
      <c r="A1103" s="9"/>
      <c r="B1103" s="9"/>
      <c r="C1103" s="9"/>
      <c r="D1103" s="9"/>
      <c r="E1103" s="9"/>
      <c r="F1103" s="9"/>
      <c r="G1103" s="9"/>
      <c r="H1103" s="9"/>
      <c r="I1103" s="9"/>
      <c r="J1103" s="9"/>
      <c r="K1103" s="9"/>
      <c r="L1103" s="9"/>
      <c r="M1103" s="9"/>
      <c r="N1103" s="9"/>
      <c r="O1103" s="9"/>
      <c r="P1103" s="212"/>
      <c r="Q1103" s="9"/>
      <c r="R1103" s="9"/>
      <c r="S1103" s="9"/>
      <c r="T1103" s="9"/>
      <c r="U1103" s="9"/>
      <c r="V1103" s="9"/>
      <c r="W1103" s="9"/>
      <c r="X1103" s="9"/>
      <c r="Y1103" s="9"/>
      <c r="Z1103" s="9"/>
      <c r="AA1103" s="9"/>
      <c r="AB1103" s="212"/>
      <c r="AC1103" s="9"/>
      <c r="AD1103" s="9"/>
      <c r="AE1103" s="10"/>
      <c r="AF1103" s="10"/>
      <c r="AG1103" s="10"/>
      <c r="AH1103" s="10"/>
      <c r="AI1103" s="10"/>
      <c r="AJ1103" s="10"/>
      <c r="AK1103" s="10"/>
      <c r="AL1103" s="10"/>
      <c r="AM1103" s="10"/>
    </row>
    <row r="1104" spans="1:39" ht="15.75" customHeight="1" x14ac:dyDescent="0.2">
      <c r="A1104" s="9"/>
      <c r="B1104" s="9"/>
      <c r="C1104" s="9"/>
      <c r="D1104" s="9"/>
      <c r="E1104" s="9"/>
      <c r="F1104" s="9"/>
      <c r="G1104" s="9"/>
      <c r="H1104" s="9"/>
      <c r="I1104" s="9"/>
      <c r="J1104" s="9"/>
      <c r="K1104" s="9"/>
      <c r="L1104" s="9"/>
      <c r="M1104" s="9"/>
      <c r="N1104" s="9"/>
      <c r="O1104" s="9"/>
      <c r="P1104" s="212"/>
      <c r="Q1104" s="9"/>
      <c r="R1104" s="9"/>
      <c r="S1104" s="9"/>
      <c r="T1104" s="9"/>
      <c r="U1104" s="9"/>
      <c r="V1104" s="9"/>
      <c r="W1104" s="9"/>
      <c r="X1104" s="9"/>
      <c r="Y1104" s="9"/>
      <c r="Z1104" s="9"/>
      <c r="AA1104" s="9"/>
      <c r="AB1104" s="212"/>
      <c r="AC1104" s="9"/>
      <c r="AD1104" s="9"/>
      <c r="AE1104" s="10"/>
      <c r="AF1104" s="10"/>
      <c r="AG1104" s="10"/>
      <c r="AH1104" s="10"/>
      <c r="AI1104" s="10"/>
      <c r="AJ1104" s="10"/>
      <c r="AK1104" s="10"/>
      <c r="AL1104" s="10"/>
      <c r="AM1104" s="10"/>
    </row>
    <row r="1105" spans="1:39" ht="15.75" customHeight="1" x14ac:dyDescent="0.2">
      <c r="A1105" s="9"/>
      <c r="B1105" s="9"/>
      <c r="C1105" s="9"/>
      <c r="D1105" s="9"/>
      <c r="E1105" s="9"/>
      <c r="F1105" s="9"/>
      <c r="G1105" s="9"/>
      <c r="H1105" s="9"/>
      <c r="I1105" s="9"/>
      <c r="J1105" s="9"/>
      <c r="K1105" s="9"/>
      <c r="L1105" s="9"/>
      <c r="M1105" s="9"/>
      <c r="N1105" s="9"/>
      <c r="O1105" s="9"/>
      <c r="P1105" s="212"/>
      <c r="Q1105" s="9"/>
      <c r="R1105" s="9"/>
      <c r="S1105" s="9"/>
      <c r="T1105" s="9"/>
      <c r="U1105" s="9"/>
      <c r="V1105" s="9"/>
      <c r="W1105" s="9"/>
      <c r="X1105" s="9"/>
      <c r="Y1105" s="9"/>
      <c r="Z1105" s="9"/>
      <c r="AA1105" s="9"/>
      <c r="AB1105" s="212"/>
      <c r="AC1105" s="9"/>
      <c r="AD1105" s="9"/>
      <c r="AE1105" s="10"/>
      <c r="AF1105" s="10"/>
      <c r="AG1105" s="10"/>
      <c r="AH1105" s="10"/>
      <c r="AI1105" s="10"/>
      <c r="AJ1105" s="10"/>
      <c r="AK1105" s="10"/>
      <c r="AL1105" s="10"/>
      <c r="AM1105" s="10"/>
    </row>
    <row r="1106" spans="1:39" ht="15.75" customHeight="1" x14ac:dyDescent="0.2">
      <c r="A1106" s="9"/>
      <c r="B1106" s="9"/>
      <c r="C1106" s="9"/>
      <c r="D1106" s="9"/>
      <c r="E1106" s="9"/>
      <c r="F1106" s="9"/>
      <c r="G1106" s="9"/>
      <c r="H1106" s="9"/>
      <c r="I1106" s="9"/>
      <c r="J1106" s="9"/>
      <c r="K1106" s="9"/>
      <c r="L1106" s="9"/>
      <c r="M1106" s="9"/>
      <c r="N1106" s="9"/>
      <c r="O1106" s="9"/>
      <c r="P1106" s="212"/>
      <c r="Q1106" s="9"/>
      <c r="R1106" s="9"/>
      <c r="S1106" s="9"/>
      <c r="T1106" s="9"/>
      <c r="U1106" s="9"/>
      <c r="V1106" s="9"/>
      <c r="W1106" s="9"/>
      <c r="X1106" s="9"/>
      <c r="Y1106" s="9"/>
      <c r="Z1106" s="9"/>
      <c r="AA1106" s="9"/>
      <c r="AB1106" s="212"/>
      <c r="AC1106" s="9"/>
      <c r="AD1106" s="9"/>
      <c r="AE1106" s="10"/>
      <c r="AF1106" s="10"/>
      <c r="AG1106" s="10"/>
      <c r="AH1106" s="10"/>
      <c r="AI1106" s="10"/>
      <c r="AJ1106" s="10"/>
      <c r="AK1106" s="10"/>
      <c r="AL1106" s="10"/>
      <c r="AM1106" s="10"/>
    </row>
    <row r="1107" spans="1:39" ht="15.75" customHeight="1" x14ac:dyDescent="0.2">
      <c r="A1107" s="9"/>
      <c r="B1107" s="9"/>
      <c r="C1107" s="9"/>
      <c r="D1107" s="9"/>
      <c r="E1107" s="9"/>
      <c r="F1107" s="9"/>
      <c r="G1107" s="9"/>
      <c r="H1107" s="9"/>
      <c r="I1107" s="9"/>
      <c r="J1107" s="9"/>
      <c r="K1107" s="9"/>
      <c r="L1107" s="9"/>
      <c r="M1107" s="9"/>
      <c r="N1107" s="9"/>
      <c r="O1107" s="9"/>
      <c r="P1107" s="212"/>
      <c r="Q1107" s="9"/>
      <c r="R1107" s="9"/>
      <c r="S1107" s="9"/>
      <c r="T1107" s="9"/>
      <c r="U1107" s="9"/>
      <c r="V1107" s="9"/>
      <c r="W1107" s="9"/>
      <c r="X1107" s="9"/>
      <c r="Y1107" s="9"/>
      <c r="Z1107" s="9"/>
      <c r="AA1107" s="9"/>
      <c r="AB1107" s="212"/>
      <c r="AC1107" s="9"/>
      <c r="AD1107" s="9"/>
      <c r="AE1107" s="10"/>
      <c r="AF1107" s="10"/>
      <c r="AG1107" s="10"/>
      <c r="AH1107" s="10"/>
      <c r="AI1107" s="10"/>
      <c r="AJ1107" s="10"/>
      <c r="AK1107" s="10"/>
      <c r="AL1107" s="10"/>
      <c r="AM1107" s="10"/>
    </row>
    <row r="1108" spans="1:39" ht="15.75" customHeight="1" x14ac:dyDescent="0.2">
      <c r="A1108" s="9"/>
      <c r="B1108" s="9"/>
      <c r="C1108" s="9"/>
      <c r="D1108" s="9"/>
      <c r="E1108" s="9"/>
      <c r="F1108" s="9"/>
      <c r="G1108" s="9"/>
      <c r="H1108" s="9"/>
      <c r="I1108" s="9"/>
      <c r="J1108" s="9"/>
      <c r="K1108" s="9"/>
      <c r="L1108" s="9"/>
      <c r="M1108" s="9"/>
      <c r="N1108" s="9"/>
      <c r="O1108" s="9"/>
      <c r="P1108" s="212"/>
      <c r="Q1108" s="9"/>
      <c r="R1108" s="9"/>
      <c r="S1108" s="9"/>
      <c r="T1108" s="9"/>
      <c r="U1108" s="9"/>
      <c r="V1108" s="9"/>
      <c r="W1108" s="9"/>
      <c r="X1108" s="9"/>
      <c r="Y1108" s="9"/>
      <c r="Z1108" s="9"/>
      <c r="AA1108" s="9"/>
      <c r="AB1108" s="212"/>
      <c r="AC1108" s="9"/>
      <c r="AD1108" s="9"/>
      <c r="AE1108" s="10"/>
      <c r="AF1108" s="10"/>
      <c r="AG1108" s="10"/>
      <c r="AH1108" s="10"/>
      <c r="AI1108" s="10"/>
      <c r="AJ1108" s="10"/>
      <c r="AK1108" s="10"/>
      <c r="AL1108" s="10"/>
      <c r="AM1108" s="10"/>
    </row>
    <row r="1109" spans="1:39" ht="15.75" customHeight="1" x14ac:dyDescent="0.2">
      <c r="A1109" s="9"/>
      <c r="B1109" s="9"/>
      <c r="C1109" s="9"/>
      <c r="D1109" s="9"/>
      <c r="E1109" s="9"/>
      <c r="F1109" s="9"/>
      <c r="G1109" s="9"/>
      <c r="H1109" s="9"/>
      <c r="I1109" s="9"/>
      <c r="J1109" s="9"/>
      <c r="K1109" s="9"/>
      <c r="L1109" s="9"/>
      <c r="M1109" s="9"/>
      <c r="N1109" s="9"/>
      <c r="O1109" s="9"/>
      <c r="P1109" s="212"/>
      <c r="Q1109" s="9"/>
      <c r="R1109" s="9"/>
      <c r="S1109" s="9"/>
      <c r="T1109" s="9"/>
      <c r="U1109" s="9"/>
      <c r="V1109" s="9"/>
      <c r="W1109" s="9"/>
      <c r="X1109" s="9"/>
      <c r="Y1109" s="9"/>
      <c r="Z1109" s="9"/>
      <c r="AA1109" s="9"/>
      <c r="AB1109" s="212"/>
      <c r="AC1109" s="9"/>
      <c r="AD1109" s="9"/>
      <c r="AE1109" s="10"/>
      <c r="AF1109" s="10"/>
      <c r="AG1109" s="10"/>
      <c r="AH1109" s="10"/>
      <c r="AI1109" s="10"/>
      <c r="AJ1109" s="10"/>
      <c r="AK1109" s="10"/>
      <c r="AL1109" s="10"/>
      <c r="AM1109" s="10"/>
    </row>
    <row r="1110" spans="1:39" ht="15.75" customHeight="1" x14ac:dyDescent="0.2">
      <c r="A1110" s="9"/>
      <c r="B1110" s="9"/>
      <c r="C1110" s="9"/>
      <c r="D1110" s="9"/>
      <c r="E1110" s="9"/>
      <c r="F1110" s="9"/>
      <c r="G1110" s="9"/>
      <c r="H1110" s="9"/>
      <c r="I1110" s="9"/>
      <c r="J1110" s="9"/>
      <c r="K1110" s="9"/>
      <c r="L1110" s="9"/>
      <c r="M1110" s="9"/>
      <c r="N1110" s="9"/>
      <c r="O1110" s="9"/>
      <c r="P1110" s="212"/>
      <c r="Q1110" s="9"/>
      <c r="R1110" s="9"/>
      <c r="S1110" s="9"/>
      <c r="T1110" s="9"/>
      <c r="U1110" s="9"/>
      <c r="V1110" s="9"/>
      <c r="W1110" s="9"/>
      <c r="X1110" s="9"/>
      <c r="Y1110" s="9"/>
      <c r="Z1110" s="9"/>
      <c r="AA1110" s="9"/>
      <c r="AB1110" s="212"/>
      <c r="AC1110" s="9"/>
      <c r="AD1110" s="9"/>
      <c r="AE1110" s="10"/>
      <c r="AF1110" s="10"/>
      <c r="AG1110" s="10"/>
      <c r="AH1110" s="10"/>
      <c r="AI1110" s="10"/>
      <c r="AJ1110" s="10"/>
      <c r="AK1110" s="10"/>
      <c r="AL1110" s="10"/>
      <c r="AM1110" s="10"/>
    </row>
    <row r="1111" spans="1:39" ht="15.75" customHeight="1" x14ac:dyDescent="0.2">
      <c r="A1111" s="9"/>
      <c r="B1111" s="9"/>
      <c r="C1111" s="9"/>
      <c r="D1111" s="9"/>
      <c r="E1111" s="9"/>
      <c r="F1111" s="9"/>
      <c r="G1111" s="9"/>
      <c r="H1111" s="9"/>
      <c r="I1111" s="9"/>
      <c r="J1111" s="9"/>
      <c r="K1111" s="9"/>
      <c r="L1111" s="9"/>
      <c r="M1111" s="9"/>
      <c r="N1111" s="9"/>
      <c r="O1111" s="9"/>
      <c r="P1111" s="212"/>
      <c r="Q1111" s="9"/>
      <c r="R1111" s="9"/>
      <c r="S1111" s="9"/>
      <c r="T1111" s="9"/>
      <c r="U1111" s="9"/>
      <c r="V1111" s="9"/>
      <c r="W1111" s="9"/>
      <c r="X1111" s="9"/>
      <c r="Y1111" s="9"/>
      <c r="Z1111" s="9"/>
      <c r="AA1111" s="9"/>
      <c r="AB1111" s="212"/>
      <c r="AC1111" s="9"/>
      <c r="AD1111" s="9"/>
      <c r="AE1111" s="10"/>
      <c r="AF1111" s="10"/>
      <c r="AG1111" s="10"/>
      <c r="AH1111" s="10"/>
      <c r="AI1111" s="10"/>
      <c r="AJ1111" s="10"/>
      <c r="AK1111" s="10"/>
      <c r="AL1111" s="10"/>
      <c r="AM1111" s="10"/>
    </row>
    <row r="1112" spans="1:39" ht="15.75" customHeight="1" x14ac:dyDescent="0.2">
      <c r="A1112" s="9"/>
      <c r="B1112" s="9"/>
      <c r="C1112" s="9"/>
      <c r="D1112" s="9"/>
      <c r="E1112" s="9"/>
      <c r="F1112" s="9"/>
      <c r="G1112" s="9"/>
      <c r="H1112" s="9"/>
      <c r="I1112" s="9"/>
      <c r="J1112" s="9"/>
      <c r="K1112" s="9"/>
      <c r="L1112" s="9"/>
      <c r="M1112" s="9"/>
      <c r="N1112" s="9"/>
      <c r="O1112" s="9"/>
      <c r="P1112" s="212"/>
      <c r="Q1112" s="9"/>
      <c r="R1112" s="9"/>
      <c r="S1112" s="9"/>
      <c r="T1112" s="9"/>
      <c r="U1112" s="9"/>
      <c r="V1112" s="9"/>
      <c r="W1112" s="9"/>
      <c r="X1112" s="9"/>
      <c r="Y1112" s="9"/>
      <c r="Z1112" s="9"/>
      <c r="AA1112" s="9"/>
      <c r="AB1112" s="212"/>
      <c r="AC1112" s="9"/>
      <c r="AD1112" s="9"/>
      <c r="AE1112" s="10"/>
      <c r="AF1112" s="10"/>
      <c r="AG1112" s="10"/>
      <c r="AH1112" s="10"/>
      <c r="AI1112" s="10"/>
      <c r="AJ1112" s="10"/>
      <c r="AK1112" s="10"/>
      <c r="AL1112" s="10"/>
      <c r="AM1112" s="10"/>
    </row>
    <row r="1113" spans="1:39" ht="15.75" customHeight="1" x14ac:dyDescent="0.2">
      <c r="A1113" s="9"/>
      <c r="B1113" s="9"/>
      <c r="C1113" s="9"/>
      <c r="D1113" s="9"/>
      <c r="E1113" s="9"/>
      <c r="F1113" s="9"/>
      <c r="G1113" s="9"/>
      <c r="H1113" s="9"/>
      <c r="I1113" s="9"/>
      <c r="J1113" s="9"/>
      <c r="K1113" s="9"/>
      <c r="L1113" s="9"/>
      <c r="M1113" s="9"/>
      <c r="N1113" s="9"/>
      <c r="O1113" s="9"/>
      <c r="P1113" s="212"/>
      <c r="Q1113" s="9"/>
      <c r="R1113" s="9"/>
      <c r="S1113" s="9"/>
      <c r="T1113" s="9"/>
      <c r="U1113" s="9"/>
      <c r="V1113" s="9"/>
      <c r="W1113" s="9"/>
      <c r="X1113" s="9"/>
      <c r="Y1113" s="9"/>
      <c r="Z1113" s="9"/>
      <c r="AA1113" s="9"/>
      <c r="AB1113" s="212"/>
      <c r="AC1113" s="9"/>
      <c r="AD1113" s="9"/>
      <c r="AE1113" s="10"/>
      <c r="AF1113" s="10"/>
      <c r="AG1113" s="10"/>
      <c r="AH1113" s="10"/>
      <c r="AI1113" s="10"/>
      <c r="AJ1113" s="10"/>
      <c r="AK1113" s="10"/>
      <c r="AL1113" s="10"/>
      <c r="AM1113" s="10"/>
    </row>
    <row r="1114" spans="1:39" ht="15.75" customHeight="1" x14ac:dyDescent="0.2">
      <c r="A1114" s="9"/>
      <c r="B1114" s="9"/>
      <c r="C1114" s="9"/>
      <c r="D1114" s="9"/>
      <c r="E1114" s="9"/>
      <c r="F1114" s="9"/>
      <c r="G1114" s="9"/>
      <c r="H1114" s="9"/>
      <c r="I1114" s="9"/>
      <c r="J1114" s="9"/>
      <c r="K1114" s="9"/>
      <c r="L1114" s="9"/>
      <c r="M1114" s="9"/>
      <c r="N1114" s="9"/>
      <c r="O1114" s="9"/>
      <c r="P1114" s="212"/>
      <c r="Q1114" s="9"/>
      <c r="R1114" s="9"/>
      <c r="S1114" s="9"/>
      <c r="T1114" s="9"/>
      <c r="U1114" s="9"/>
      <c r="V1114" s="9"/>
      <c r="W1114" s="9"/>
      <c r="X1114" s="9"/>
      <c r="Y1114" s="9"/>
      <c r="Z1114" s="9"/>
      <c r="AA1114" s="9"/>
      <c r="AB1114" s="212"/>
      <c r="AC1114" s="9"/>
      <c r="AD1114" s="9"/>
      <c r="AE1114" s="10"/>
      <c r="AF1114" s="10"/>
      <c r="AG1114" s="10"/>
      <c r="AH1114" s="10"/>
      <c r="AI1114" s="10"/>
      <c r="AJ1114" s="10"/>
      <c r="AK1114" s="10"/>
      <c r="AL1114" s="10"/>
      <c r="AM1114" s="10"/>
    </row>
    <row r="1115" spans="1:39" ht="15.75" customHeight="1" x14ac:dyDescent="0.2">
      <c r="A1115" s="9"/>
      <c r="B1115" s="9"/>
      <c r="C1115" s="9"/>
      <c r="D1115" s="9"/>
      <c r="E1115" s="9"/>
      <c r="F1115" s="9"/>
      <c r="G1115" s="9"/>
      <c r="H1115" s="9"/>
      <c r="I1115" s="9"/>
      <c r="J1115" s="9"/>
      <c r="K1115" s="9"/>
      <c r="L1115" s="9"/>
      <c r="M1115" s="9"/>
      <c r="N1115" s="9"/>
      <c r="O1115" s="9"/>
      <c r="P1115" s="212"/>
      <c r="Q1115" s="9"/>
      <c r="R1115" s="9"/>
      <c r="S1115" s="9"/>
      <c r="T1115" s="9"/>
      <c r="U1115" s="9"/>
      <c r="V1115" s="9"/>
      <c r="W1115" s="9"/>
      <c r="X1115" s="9"/>
      <c r="Y1115" s="9"/>
      <c r="Z1115" s="9"/>
      <c r="AA1115" s="9"/>
      <c r="AB1115" s="212"/>
      <c r="AC1115" s="9"/>
      <c r="AD1115" s="9"/>
      <c r="AE1115" s="10"/>
      <c r="AF1115" s="10"/>
      <c r="AG1115" s="10"/>
      <c r="AH1115" s="10"/>
      <c r="AI1115" s="10"/>
      <c r="AJ1115" s="10"/>
      <c r="AK1115" s="10"/>
      <c r="AL1115" s="10"/>
      <c r="AM1115" s="10"/>
    </row>
    <row r="1116" spans="1:39" ht="15.75" customHeight="1" x14ac:dyDescent="0.2">
      <c r="A1116" s="9"/>
      <c r="B1116" s="9"/>
      <c r="C1116" s="9"/>
      <c r="D1116" s="9"/>
      <c r="E1116" s="9"/>
      <c r="F1116" s="9"/>
      <c r="G1116" s="9"/>
      <c r="H1116" s="9"/>
      <c r="I1116" s="9"/>
      <c r="J1116" s="9"/>
      <c r="K1116" s="9"/>
      <c r="L1116" s="9"/>
      <c r="M1116" s="9"/>
      <c r="N1116" s="9"/>
      <c r="O1116" s="9"/>
      <c r="P1116" s="212"/>
      <c r="Q1116" s="9"/>
      <c r="R1116" s="9"/>
      <c r="S1116" s="9"/>
      <c r="T1116" s="9"/>
      <c r="U1116" s="9"/>
      <c r="V1116" s="9"/>
      <c r="W1116" s="9"/>
      <c r="X1116" s="9"/>
      <c r="Y1116" s="9"/>
      <c r="Z1116" s="9"/>
      <c r="AA1116" s="9"/>
      <c r="AB1116" s="212"/>
      <c r="AC1116" s="9"/>
      <c r="AD1116" s="9"/>
      <c r="AE1116" s="10"/>
      <c r="AF1116" s="10"/>
      <c r="AG1116" s="10"/>
      <c r="AH1116" s="10"/>
      <c r="AI1116" s="10"/>
      <c r="AJ1116" s="10"/>
      <c r="AK1116" s="10"/>
      <c r="AL1116" s="10"/>
      <c r="AM1116" s="10"/>
    </row>
    <row r="1117" spans="1:39" ht="15.75" customHeight="1" x14ac:dyDescent="0.2">
      <c r="A1117" s="9"/>
      <c r="B1117" s="9"/>
      <c r="C1117" s="9"/>
      <c r="D1117" s="9"/>
      <c r="E1117" s="9"/>
      <c r="F1117" s="9"/>
      <c r="G1117" s="9"/>
      <c r="H1117" s="9"/>
      <c r="I1117" s="9"/>
      <c r="J1117" s="9"/>
      <c r="K1117" s="9"/>
      <c r="L1117" s="9"/>
      <c r="M1117" s="9"/>
      <c r="N1117" s="9"/>
      <c r="O1117" s="9"/>
      <c r="P1117" s="212"/>
      <c r="Q1117" s="9"/>
      <c r="R1117" s="9"/>
      <c r="S1117" s="9"/>
      <c r="T1117" s="9"/>
      <c r="U1117" s="9"/>
      <c r="V1117" s="9"/>
      <c r="W1117" s="9"/>
      <c r="X1117" s="9"/>
      <c r="Y1117" s="9"/>
      <c r="Z1117" s="9"/>
      <c r="AA1117" s="9"/>
      <c r="AB1117" s="212"/>
      <c r="AC1117" s="9"/>
      <c r="AD1117" s="9"/>
      <c r="AE1117" s="10"/>
      <c r="AF1117" s="10"/>
      <c r="AG1117" s="10"/>
      <c r="AH1117" s="10"/>
      <c r="AI1117" s="10"/>
      <c r="AJ1117" s="10"/>
      <c r="AK1117" s="10"/>
      <c r="AL1117" s="10"/>
      <c r="AM1117" s="10"/>
    </row>
    <row r="1118" spans="1:39" ht="15.75" customHeight="1" x14ac:dyDescent="0.2">
      <c r="A1118" s="9"/>
      <c r="B1118" s="9"/>
      <c r="C1118" s="9"/>
      <c r="D1118" s="9"/>
      <c r="E1118" s="9"/>
      <c r="F1118" s="9"/>
      <c r="G1118" s="9"/>
      <c r="H1118" s="9"/>
      <c r="I1118" s="9"/>
      <c r="J1118" s="9"/>
      <c r="K1118" s="9"/>
      <c r="L1118" s="9"/>
      <c r="M1118" s="9"/>
      <c r="N1118" s="9"/>
      <c r="O1118" s="9"/>
      <c r="P1118" s="212"/>
      <c r="Q1118" s="9"/>
      <c r="R1118" s="9"/>
      <c r="S1118" s="9"/>
      <c r="T1118" s="9"/>
      <c r="U1118" s="9"/>
      <c r="V1118" s="9"/>
      <c r="W1118" s="9"/>
      <c r="X1118" s="9"/>
      <c r="Y1118" s="9"/>
      <c r="Z1118" s="9"/>
      <c r="AA1118" s="9"/>
      <c r="AB1118" s="212"/>
      <c r="AC1118" s="9"/>
      <c r="AD1118" s="9"/>
      <c r="AE1118" s="10"/>
      <c r="AF1118" s="10"/>
      <c r="AG1118" s="10"/>
      <c r="AH1118" s="10"/>
      <c r="AI1118" s="10"/>
      <c r="AJ1118" s="10"/>
      <c r="AK1118" s="10"/>
      <c r="AL1118" s="10"/>
      <c r="AM1118" s="10"/>
    </row>
    <row r="1119" spans="1:39" ht="15.75" customHeight="1" x14ac:dyDescent="0.2">
      <c r="A1119" s="9"/>
      <c r="B1119" s="9"/>
      <c r="C1119" s="9"/>
      <c r="D1119" s="9"/>
      <c r="E1119" s="9"/>
      <c r="F1119" s="9"/>
      <c r="G1119" s="9"/>
      <c r="H1119" s="9"/>
      <c r="I1119" s="9"/>
      <c r="J1119" s="9"/>
      <c r="K1119" s="9"/>
      <c r="L1119" s="9"/>
      <c r="M1119" s="9"/>
      <c r="N1119" s="9"/>
      <c r="O1119" s="9"/>
      <c r="P1119" s="212"/>
      <c r="Q1119" s="9"/>
      <c r="R1119" s="9"/>
      <c r="S1119" s="9"/>
      <c r="T1119" s="9"/>
      <c r="U1119" s="9"/>
      <c r="V1119" s="9"/>
      <c r="W1119" s="9"/>
      <c r="X1119" s="9"/>
      <c r="Y1119" s="9"/>
      <c r="Z1119" s="9"/>
      <c r="AA1119" s="9"/>
      <c r="AB1119" s="212"/>
      <c r="AC1119" s="9"/>
      <c r="AD1119" s="9"/>
      <c r="AE1119" s="10"/>
      <c r="AF1119" s="10"/>
      <c r="AG1119" s="10"/>
      <c r="AH1119" s="10"/>
      <c r="AI1119" s="10"/>
      <c r="AJ1119" s="10"/>
      <c r="AK1119" s="10"/>
      <c r="AL1119" s="10"/>
      <c r="AM1119" s="10"/>
    </row>
    <row r="1120" spans="1:39" ht="15.75" customHeight="1" x14ac:dyDescent="0.2">
      <c r="A1120" s="9"/>
      <c r="B1120" s="9"/>
      <c r="C1120" s="9"/>
      <c r="D1120" s="9"/>
      <c r="E1120" s="9"/>
      <c r="F1120" s="9"/>
      <c r="G1120" s="9"/>
      <c r="H1120" s="9"/>
      <c r="I1120" s="9"/>
      <c r="J1120" s="9"/>
      <c r="K1120" s="9"/>
      <c r="L1120" s="9"/>
      <c r="M1120" s="9"/>
      <c r="N1120" s="9"/>
      <c r="O1120" s="9"/>
      <c r="P1120" s="212"/>
      <c r="Q1120" s="9"/>
      <c r="R1120" s="9"/>
      <c r="S1120" s="9"/>
      <c r="T1120" s="9"/>
      <c r="U1120" s="9"/>
      <c r="V1120" s="9"/>
      <c r="W1120" s="9"/>
      <c r="X1120" s="9"/>
      <c r="Y1120" s="9"/>
      <c r="Z1120" s="9"/>
      <c r="AA1120" s="9"/>
      <c r="AB1120" s="212"/>
      <c r="AC1120" s="9"/>
      <c r="AD1120" s="9"/>
      <c r="AE1120" s="10"/>
      <c r="AF1120" s="10"/>
      <c r="AG1120" s="10"/>
      <c r="AH1120" s="10"/>
      <c r="AI1120" s="10"/>
      <c r="AJ1120" s="10"/>
      <c r="AK1120" s="10"/>
      <c r="AL1120" s="10"/>
      <c r="AM1120" s="10"/>
    </row>
    <row r="1121" spans="1:39" ht="15.75" customHeight="1" x14ac:dyDescent="0.2">
      <c r="A1121" s="9"/>
      <c r="B1121" s="9"/>
      <c r="C1121" s="9"/>
      <c r="D1121" s="9"/>
      <c r="E1121" s="9"/>
      <c r="F1121" s="9"/>
      <c r="G1121" s="9"/>
      <c r="H1121" s="9"/>
      <c r="I1121" s="9"/>
      <c r="J1121" s="9"/>
      <c r="K1121" s="9"/>
      <c r="L1121" s="9"/>
      <c r="M1121" s="9"/>
      <c r="N1121" s="9"/>
      <c r="O1121" s="9"/>
      <c r="P1121" s="212"/>
      <c r="Q1121" s="9"/>
      <c r="R1121" s="9"/>
      <c r="S1121" s="9"/>
      <c r="T1121" s="9"/>
      <c r="U1121" s="9"/>
      <c r="V1121" s="9"/>
      <c r="W1121" s="9"/>
      <c r="X1121" s="9"/>
      <c r="Y1121" s="9"/>
      <c r="Z1121" s="9"/>
      <c r="AA1121" s="9"/>
      <c r="AB1121" s="212"/>
      <c r="AC1121" s="9"/>
      <c r="AD1121" s="9"/>
      <c r="AE1121" s="10"/>
      <c r="AF1121" s="10"/>
      <c r="AG1121" s="10"/>
      <c r="AH1121" s="10"/>
      <c r="AI1121" s="10"/>
      <c r="AJ1121" s="10"/>
      <c r="AK1121" s="10"/>
      <c r="AL1121" s="10"/>
      <c r="AM1121" s="10"/>
    </row>
    <row r="1122" spans="1:39" ht="15.75" customHeight="1" x14ac:dyDescent="0.2">
      <c r="A1122" s="9"/>
      <c r="B1122" s="9"/>
      <c r="C1122" s="9"/>
      <c r="D1122" s="9"/>
      <c r="E1122" s="9"/>
      <c r="F1122" s="9"/>
      <c r="G1122" s="9"/>
      <c r="H1122" s="9"/>
      <c r="I1122" s="9"/>
      <c r="J1122" s="9"/>
      <c r="K1122" s="9"/>
      <c r="L1122" s="9"/>
      <c r="M1122" s="9"/>
      <c r="N1122" s="9"/>
      <c r="O1122" s="9"/>
      <c r="P1122" s="212"/>
      <c r="Q1122" s="9"/>
      <c r="R1122" s="9"/>
      <c r="S1122" s="9"/>
      <c r="T1122" s="9"/>
      <c r="U1122" s="9"/>
      <c r="V1122" s="9"/>
      <c r="W1122" s="9"/>
      <c r="X1122" s="9"/>
      <c r="Y1122" s="9"/>
      <c r="Z1122" s="9"/>
      <c r="AA1122" s="9"/>
      <c r="AB1122" s="212"/>
      <c r="AC1122" s="9"/>
      <c r="AD1122" s="9"/>
      <c r="AE1122" s="10"/>
      <c r="AF1122" s="10"/>
      <c r="AG1122" s="10"/>
      <c r="AH1122" s="10"/>
      <c r="AI1122" s="10"/>
      <c r="AJ1122" s="10"/>
      <c r="AK1122" s="10"/>
      <c r="AL1122" s="10"/>
      <c r="AM1122" s="10"/>
    </row>
    <row r="1123" spans="1:39" ht="15.75" customHeight="1" x14ac:dyDescent="0.2">
      <c r="A1123" s="9"/>
      <c r="B1123" s="9"/>
      <c r="C1123" s="9"/>
      <c r="D1123" s="9"/>
      <c r="E1123" s="9"/>
      <c r="F1123" s="9"/>
      <c r="G1123" s="9"/>
      <c r="H1123" s="9"/>
      <c r="I1123" s="9"/>
      <c r="J1123" s="9"/>
      <c r="K1123" s="9"/>
      <c r="L1123" s="9"/>
      <c r="M1123" s="9"/>
      <c r="N1123" s="9"/>
      <c r="O1123" s="9"/>
      <c r="P1123" s="212"/>
      <c r="Q1123" s="9"/>
      <c r="R1123" s="9"/>
      <c r="S1123" s="9"/>
      <c r="T1123" s="9"/>
      <c r="U1123" s="9"/>
      <c r="V1123" s="9"/>
      <c r="W1123" s="9"/>
      <c r="X1123" s="9"/>
      <c r="Y1123" s="9"/>
      <c r="Z1123" s="9"/>
      <c r="AA1123" s="9"/>
      <c r="AB1123" s="212"/>
      <c r="AC1123" s="9"/>
      <c r="AD1123" s="9"/>
      <c r="AE1123" s="10"/>
      <c r="AF1123" s="10"/>
      <c r="AG1123" s="10"/>
      <c r="AH1123" s="10"/>
      <c r="AI1123" s="10"/>
      <c r="AJ1123" s="10"/>
      <c r="AK1123" s="10"/>
      <c r="AL1123" s="10"/>
      <c r="AM1123" s="10"/>
    </row>
    <row r="1124" spans="1:39" ht="15.75" customHeight="1" x14ac:dyDescent="0.2">
      <c r="A1124" s="9"/>
      <c r="B1124" s="9"/>
      <c r="C1124" s="9"/>
      <c r="D1124" s="9"/>
      <c r="E1124" s="9"/>
      <c r="F1124" s="9"/>
      <c r="G1124" s="9"/>
      <c r="H1124" s="9"/>
      <c r="I1124" s="9"/>
      <c r="J1124" s="9"/>
      <c r="K1124" s="9"/>
      <c r="L1124" s="9"/>
      <c r="M1124" s="9"/>
      <c r="N1124" s="9"/>
      <c r="O1124" s="9"/>
      <c r="P1124" s="212"/>
      <c r="Q1124" s="9"/>
      <c r="R1124" s="9"/>
      <c r="S1124" s="9"/>
      <c r="T1124" s="9"/>
      <c r="U1124" s="9"/>
      <c r="V1124" s="9"/>
      <c r="W1124" s="9"/>
      <c r="X1124" s="9"/>
      <c r="Y1124" s="9"/>
      <c r="Z1124" s="9"/>
      <c r="AA1124" s="9"/>
      <c r="AB1124" s="212"/>
      <c r="AC1124" s="9"/>
      <c r="AD1124" s="9"/>
      <c r="AE1124" s="10"/>
      <c r="AF1124" s="10"/>
      <c r="AG1124" s="10"/>
      <c r="AH1124" s="10"/>
      <c r="AI1124" s="10"/>
      <c r="AJ1124" s="10"/>
      <c r="AK1124" s="10"/>
      <c r="AL1124" s="10"/>
      <c r="AM1124" s="10"/>
    </row>
    <row r="1125" spans="1:39" ht="15.75" customHeight="1" x14ac:dyDescent="0.2">
      <c r="A1125" s="9"/>
      <c r="B1125" s="9"/>
      <c r="C1125" s="9"/>
      <c r="D1125" s="9"/>
      <c r="E1125" s="9"/>
      <c r="F1125" s="9"/>
      <c r="G1125" s="9"/>
      <c r="H1125" s="9"/>
      <c r="I1125" s="9"/>
      <c r="J1125" s="9"/>
      <c r="K1125" s="9"/>
      <c r="L1125" s="9"/>
      <c r="M1125" s="9"/>
      <c r="N1125" s="9"/>
      <c r="O1125" s="9"/>
      <c r="P1125" s="212"/>
      <c r="Q1125" s="9"/>
      <c r="R1125" s="9"/>
      <c r="S1125" s="9"/>
      <c r="T1125" s="9"/>
      <c r="U1125" s="9"/>
      <c r="V1125" s="9"/>
      <c r="W1125" s="9"/>
      <c r="X1125" s="9"/>
      <c r="Y1125" s="9"/>
      <c r="Z1125" s="9"/>
      <c r="AA1125" s="9"/>
      <c r="AB1125" s="212"/>
      <c r="AC1125" s="9"/>
      <c r="AD1125" s="9"/>
      <c r="AE1125" s="10"/>
      <c r="AF1125" s="10"/>
      <c r="AG1125" s="10"/>
      <c r="AH1125" s="10"/>
      <c r="AI1125" s="10"/>
      <c r="AJ1125" s="10"/>
      <c r="AK1125" s="10"/>
      <c r="AL1125" s="10"/>
      <c r="AM1125" s="10"/>
    </row>
    <row r="1126" spans="1:39" ht="15.75" customHeight="1" x14ac:dyDescent="0.2">
      <c r="A1126" s="9"/>
      <c r="B1126" s="9"/>
      <c r="C1126" s="9"/>
      <c r="D1126" s="9"/>
      <c r="E1126" s="9"/>
      <c r="F1126" s="9"/>
      <c r="G1126" s="9"/>
      <c r="H1126" s="9"/>
      <c r="I1126" s="9"/>
      <c r="J1126" s="9"/>
      <c r="K1126" s="9"/>
      <c r="L1126" s="9"/>
      <c r="M1126" s="9"/>
      <c r="N1126" s="9"/>
      <c r="O1126" s="9"/>
      <c r="P1126" s="212"/>
      <c r="Q1126" s="9"/>
      <c r="R1126" s="9"/>
      <c r="S1126" s="9"/>
      <c r="T1126" s="9"/>
      <c r="U1126" s="9"/>
      <c r="V1126" s="9"/>
      <c r="W1126" s="9"/>
      <c r="X1126" s="9"/>
      <c r="Y1126" s="9"/>
      <c r="Z1126" s="9"/>
      <c r="AA1126" s="9"/>
      <c r="AB1126" s="212"/>
      <c r="AC1126" s="9"/>
      <c r="AD1126" s="9"/>
      <c r="AE1126" s="10"/>
      <c r="AF1126" s="10"/>
      <c r="AG1126" s="10"/>
      <c r="AH1126" s="10"/>
      <c r="AI1126" s="10"/>
      <c r="AJ1126" s="10"/>
      <c r="AK1126" s="10"/>
      <c r="AL1126" s="10"/>
      <c r="AM1126" s="10"/>
    </row>
    <row r="1127" spans="1:39" ht="15.75" customHeight="1" x14ac:dyDescent="0.2">
      <c r="A1127" s="9"/>
      <c r="B1127" s="9"/>
      <c r="C1127" s="9"/>
      <c r="D1127" s="9"/>
      <c r="E1127" s="9"/>
      <c r="F1127" s="9"/>
      <c r="G1127" s="9"/>
      <c r="H1127" s="9"/>
      <c r="I1127" s="9"/>
      <c r="J1127" s="9"/>
      <c r="K1127" s="9"/>
      <c r="L1127" s="9"/>
      <c r="M1127" s="9"/>
      <c r="N1127" s="9"/>
      <c r="O1127" s="9"/>
      <c r="P1127" s="212"/>
      <c r="Q1127" s="9"/>
      <c r="R1127" s="9"/>
      <c r="S1127" s="9"/>
      <c r="T1127" s="9"/>
      <c r="U1127" s="9"/>
      <c r="V1127" s="9"/>
      <c r="W1127" s="9"/>
      <c r="X1127" s="9"/>
      <c r="Y1127" s="9"/>
      <c r="Z1127" s="9"/>
      <c r="AA1127" s="9"/>
      <c r="AB1127" s="212"/>
      <c r="AC1127" s="9"/>
      <c r="AD1127" s="9"/>
      <c r="AE1127" s="10"/>
      <c r="AF1127" s="10"/>
      <c r="AG1127" s="10"/>
      <c r="AH1127" s="10"/>
      <c r="AI1127" s="10"/>
      <c r="AJ1127" s="10"/>
      <c r="AK1127" s="10"/>
      <c r="AL1127" s="10"/>
      <c r="AM1127" s="10"/>
    </row>
    <row r="1128" spans="1:39" ht="15.75" customHeight="1" x14ac:dyDescent="0.2">
      <c r="A1128" s="9"/>
      <c r="B1128" s="9"/>
      <c r="C1128" s="9"/>
      <c r="D1128" s="9"/>
      <c r="E1128" s="9"/>
      <c r="F1128" s="9"/>
      <c r="G1128" s="9"/>
      <c r="H1128" s="9"/>
      <c r="I1128" s="9"/>
      <c r="J1128" s="9"/>
      <c r="K1128" s="9"/>
      <c r="L1128" s="9"/>
      <c r="M1128" s="9"/>
      <c r="N1128" s="9"/>
      <c r="O1128" s="9"/>
      <c r="P1128" s="212"/>
      <c r="Q1128" s="9"/>
      <c r="R1128" s="9"/>
      <c r="S1128" s="9"/>
      <c r="T1128" s="9"/>
      <c r="U1128" s="9"/>
      <c r="V1128" s="9"/>
      <c r="W1128" s="9"/>
      <c r="X1128" s="9"/>
      <c r="Y1128" s="9"/>
      <c r="Z1128" s="9"/>
      <c r="AA1128" s="9"/>
      <c r="AB1128" s="212"/>
      <c r="AC1128" s="9"/>
      <c r="AD1128" s="9"/>
      <c r="AE1128" s="10"/>
      <c r="AF1128" s="10"/>
      <c r="AG1128" s="10"/>
      <c r="AH1128" s="10"/>
      <c r="AI1128" s="10"/>
      <c r="AJ1128" s="10"/>
      <c r="AK1128" s="10"/>
      <c r="AL1128" s="10"/>
      <c r="AM1128" s="10"/>
    </row>
    <row r="1129" spans="1:39" ht="15.75" customHeight="1" x14ac:dyDescent="0.2">
      <c r="A1129" s="9"/>
      <c r="B1129" s="9"/>
      <c r="C1129" s="9"/>
      <c r="D1129" s="9"/>
      <c r="E1129" s="9"/>
      <c r="F1129" s="9"/>
      <c r="G1129" s="9"/>
      <c r="H1129" s="9"/>
      <c r="I1129" s="9"/>
      <c r="J1129" s="9"/>
      <c r="K1129" s="9"/>
      <c r="L1129" s="9"/>
      <c r="M1129" s="9"/>
      <c r="N1129" s="9"/>
      <c r="O1129" s="9"/>
      <c r="P1129" s="212"/>
      <c r="Q1129" s="9"/>
      <c r="R1129" s="9"/>
      <c r="S1129" s="9"/>
      <c r="T1129" s="9"/>
      <c r="U1129" s="9"/>
      <c r="V1129" s="9"/>
      <c r="W1129" s="9"/>
      <c r="X1129" s="9"/>
      <c r="Y1129" s="9"/>
      <c r="Z1129" s="9"/>
      <c r="AA1129" s="9"/>
      <c r="AB1129" s="212"/>
      <c r="AC1129" s="9"/>
      <c r="AD1129" s="9"/>
      <c r="AE1129" s="10"/>
      <c r="AF1129" s="10"/>
      <c r="AG1129" s="10"/>
      <c r="AH1129" s="10"/>
      <c r="AI1129" s="10"/>
      <c r="AJ1129" s="10"/>
      <c r="AK1129" s="10"/>
      <c r="AL1129" s="10"/>
      <c r="AM1129" s="10"/>
    </row>
    <row r="1130" spans="1:39" ht="15.75" customHeight="1" x14ac:dyDescent="0.2">
      <c r="A1130" s="9"/>
      <c r="B1130" s="9"/>
      <c r="C1130" s="9"/>
      <c r="D1130" s="9"/>
      <c r="E1130" s="9"/>
      <c r="F1130" s="9"/>
      <c r="G1130" s="9"/>
      <c r="H1130" s="9"/>
      <c r="I1130" s="9"/>
      <c r="J1130" s="9"/>
      <c r="K1130" s="9"/>
      <c r="L1130" s="9"/>
      <c r="M1130" s="9"/>
      <c r="N1130" s="9"/>
      <c r="O1130" s="9"/>
      <c r="P1130" s="212"/>
      <c r="Q1130" s="9"/>
      <c r="R1130" s="9"/>
      <c r="S1130" s="9"/>
      <c r="T1130" s="9"/>
      <c r="U1130" s="9"/>
      <c r="V1130" s="9"/>
      <c r="W1130" s="9"/>
      <c r="X1130" s="9"/>
      <c r="Y1130" s="9"/>
      <c r="Z1130" s="9"/>
      <c r="AA1130" s="9"/>
      <c r="AB1130" s="212"/>
      <c r="AC1130" s="9"/>
      <c r="AD1130" s="9"/>
      <c r="AE1130" s="10"/>
      <c r="AF1130" s="10"/>
      <c r="AG1130" s="10"/>
      <c r="AH1130" s="10"/>
      <c r="AI1130" s="10"/>
      <c r="AJ1130" s="10"/>
      <c r="AK1130" s="10"/>
      <c r="AL1130" s="10"/>
      <c r="AM1130" s="10"/>
    </row>
    <row r="1131" spans="1:39" ht="15.75" customHeight="1" x14ac:dyDescent="0.2">
      <c r="A1131" s="9"/>
      <c r="B1131" s="9"/>
      <c r="C1131" s="9"/>
      <c r="D1131" s="9"/>
      <c r="E1131" s="9"/>
      <c r="F1131" s="9"/>
      <c r="G1131" s="9"/>
      <c r="H1131" s="9"/>
      <c r="I1131" s="9"/>
      <c r="J1131" s="9"/>
      <c r="K1131" s="9"/>
      <c r="L1131" s="9"/>
      <c r="M1131" s="9"/>
      <c r="N1131" s="9"/>
      <c r="O1131" s="9"/>
      <c r="P1131" s="212"/>
      <c r="Q1131" s="9"/>
      <c r="R1131" s="9"/>
      <c r="S1131" s="9"/>
      <c r="T1131" s="9"/>
      <c r="U1131" s="9"/>
      <c r="V1131" s="9"/>
      <c r="W1131" s="9"/>
      <c r="X1131" s="9"/>
      <c r="Y1131" s="9"/>
      <c r="Z1131" s="9"/>
      <c r="AA1131" s="9"/>
      <c r="AB1131" s="212"/>
      <c r="AC1131" s="9"/>
      <c r="AD1131" s="9"/>
      <c r="AE1131" s="10"/>
      <c r="AF1131" s="10"/>
      <c r="AG1131" s="10"/>
      <c r="AH1131" s="10"/>
      <c r="AI1131" s="10"/>
      <c r="AJ1131" s="10"/>
      <c r="AK1131" s="10"/>
      <c r="AL1131" s="10"/>
      <c r="AM1131" s="10"/>
    </row>
    <row r="1132" spans="1:39" ht="15.75" customHeight="1" x14ac:dyDescent="0.2">
      <c r="A1132" s="9"/>
      <c r="B1132" s="9"/>
      <c r="C1132" s="9"/>
      <c r="D1132" s="9"/>
      <c r="E1132" s="9"/>
      <c r="F1132" s="9"/>
      <c r="G1132" s="9"/>
      <c r="H1132" s="9"/>
      <c r="I1132" s="9"/>
      <c r="J1132" s="9"/>
      <c r="K1132" s="9"/>
      <c r="L1132" s="9"/>
      <c r="M1132" s="9"/>
      <c r="N1132" s="9"/>
      <c r="O1132" s="9"/>
      <c r="P1132" s="212"/>
      <c r="Q1132" s="9"/>
      <c r="R1132" s="9"/>
      <c r="S1132" s="9"/>
      <c r="T1132" s="9"/>
      <c r="U1132" s="9"/>
      <c r="V1132" s="9"/>
      <c r="W1132" s="9"/>
      <c r="X1132" s="9"/>
      <c r="Y1132" s="9"/>
      <c r="Z1132" s="9"/>
      <c r="AA1132" s="9"/>
      <c r="AB1132" s="212"/>
      <c r="AC1132" s="9"/>
      <c r="AD1132" s="9"/>
      <c r="AE1132" s="10"/>
      <c r="AF1132" s="10"/>
      <c r="AG1132" s="10"/>
      <c r="AH1132" s="10"/>
      <c r="AI1132" s="10"/>
      <c r="AJ1132" s="10"/>
      <c r="AK1132" s="10"/>
      <c r="AL1132" s="10"/>
      <c r="AM1132" s="10"/>
    </row>
    <row r="1133" spans="1:39" ht="15.75" customHeight="1" x14ac:dyDescent="0.2">
      <c r="A1133" s="9"/>
      <c r="B1133" s="9"/>
      <c r="C1133" s="9"/>
      <c r="D1133" s="9"/>
      <c r="E1133" s="9"/>
      <c r="F1133" s="9"/>
      <c r="G1133" s="9"/>
      <c r="H1133" s="9"/>
      <c r="I1133" s="9"/>
      <c r="J1133" s="9"/>
      <c r="K1133" s="9"/>
      <c r="L1133" s="9"/>
      <c r="M1133" s="9"/>
      <c r="N1133" s="9"/>
      <c r="O1133" s="9"/>
      <c r="P1133" s="212"/>
      <c r="Q1133" s="9"/>
      <c r="R1133" s="9"/>
      <c r="S1133" s="9"/>
      <c r="T1133" s="9"/>
      <c r="U1133" s="9"/>
      <c r="V1133" s="9"/>
      <c r="W1133" s="9"/>
      <c r="X1133" s="9"/>
      <c r="Y1133" s="9"/>
      <c r="Z1133" s="9"/>
      <c r="AA1133" s="9"/>
      <c r="AB1133" s="212"/>
      <c r="AC1133" s="9"/>
      <c r="AD1133" s="9"/>
      <c r="AE1133" s="10"/>
      <c r="AF1133" s="10"/>
      <c r="AG1133" s="10"/>
      <c r="AH1133" s="10"/>
      <c r="AI1133" s="10"/>
      <c r="AJ1133" s="10"/>
      <c r="AK1133" s="10"/>
      <c r="AL1133" s="10"/>
      <c r="AM1133" s="10"/>
    </row>
    <row r="1134" spans="1:39" ht="15.75" customHeight="1" x14ac:dyDescent="0.2">
      <c r="A1134" s="9"/>
      <c r="B1134" s="9"/>
      <c r="C1134" s="9"/>
      <c r="D1134" s="9"/>
      <c r="E1134" s="9"/>
      <c r="F1134" s="9"/>
      <c r="G1134" s="9"/>
      <c r="H1134" s="9"/>
      <c r="I1134" s="9"/>
      <c r="J1134" s="9"/>
      <c r="K1134" s="9"/>
      <c r="L1134" s="9"/>
      <c r="M1134" s="9"/>
      <c r="N1134" s="9"/>
      <c r="O1134" s="9"/>
      <c r="P1134" s="212"/>
      <c r="Q1134" s="9"/>
      <c r="R1134" s="9"/>
      <c r="S1134" s="9"/>
      <c r="T1134" s="9"/>
      <c r="U1134" s="9"/>
      <c r="V1134" s="9"/>
      <c r="W1134" s="9"/>
      <c r="X1134" s="9"/>
      <c r="Y1134" s="9"/>
      <c r="Z1134" s="9"/>
      <c r="AA1134" s="9"/>
      <c r="AB1134" s="212"/>
      <c r="AC1134" s="9"/>
      <c r="AD1134" s="9"/>
      <c r="AE1134" s="10"/>
      <c r="AF1134" s="10"/>
      <c r="AG1134" s="10"/>
      <c r="AH1134" s="10"/>
      <c r="AI1134" s="10"/>
      <c r="AJ1134" s="10"/>
      <c r="AK1134" s="10"/>
      <c r="AL1134" s="10"/>
      <c r="AM1134" s="10"/>
    </row>
    <row r="1135" spans="1:39" ht="15.75" customHeight="1" x14ac:dyDescent="0.2">
      <c r="A1135" s="9"/>
      <c r="B1135" s="9"/>
      <c r="C1135" s="9"/>
      <c r="D1135" s="9"/>
      <c r="E1135" s="9"/>
      <c r="F1135" s="9"/>
      <c r="G1135" s="9"/>
      <c r="H1135" s="9"/>
      <c r="I1135" s="9"/>
      <c r="J1135" s="9"/>
      <c r="K1135" s="9"/>
      <c r="L1135" s="9"/>
      <c r="M1135" s="9"/>
      <c r="N1135" s="9"/>
      <c r="O1135" s="9"/>
      <c r="P1135" s="212"/>
      <c r="Q1135" s="9"/>
      <c r="R1135" s="9"/>
      <c r="S1135" s="9"/>
      <c r="T1135" s="9"/>
      <c r="U1135" s="9"/>
      <c r="V1135" s="9"/>
      <c r="W1135" s="9"/>
      <c r="X1135" s="9"/>
      <c r="Y1135" s="9"/>
      <c r="Z1135" s="9"/>
      <c r="AA1135" s="9"/>
      <c r="AB1135" s="212"/>
      <c r="AC1135" s="9"/>
      <c r="AD1135" s="9"/>
      <c r="AE1135" s="10"/>
      <c r="AF1135" s="10"/>
      <c r="AG1135" s="10"/>
      <c r="AH1135" s="10"/>
      <c r="AI1135" s="10"/>
      <c r="AJ1135" s="10"/>
      <c r="AK1135" s="10"/>
      <c r="AL1135" s="10"/>
      <c r="AM1135" s="10"/>
    </row>
    <row r="1136" spans="1:39" ht="15.75" customHeight="1" x14ac:dyDescent="0.2">
      <c r="A1136" s="9"/>
      <c r="B1136" s="9"/>
      <c r="C1136" s="9"/>
      <c r="D1136" s="9"/>
      <c r="E1136" s="9"/>
      <c r="F1136" s="9"/>
      <c r="G1136" s="9"/>
      <c r="H1136" s="9"/>
      <c r="I1136" s="9"/>
      <c r="J1136" s="9"/>
      <c r="K1136" s="9"/>
      <c r="L1136" s="9"/>
      <c r="M1136" s="9"/>
      <c r="N1136" s="9"/>
      <c r="O1136" s="9"/>
      <c r="P1136" s="212"/>
      <c r="Q1136" s="9"/>
      <c r="R1136" s="9"/>
      <c r="S1136" s="9"/>
      <c r="T1136" s="9"/>
      <c r="U1136" s="9"/>
      <c r="V1136" s="9"/>
      <c r="W1136" s="9"/>
      <c r="X1136" s="9"/>
      <c r="Y1136" s="9"/>
      <c r="Z1136" s="9"/>
      <c r="AA1136" s="9"/>
      <c r="AB1136" s="212"/>
      <c r="AC1136" s="9"/>
      <c r="AD1136" s="9"/>
      <c r="AE1136" s="10"/>
      <c r="AF1136" s="10"/>
      <c r="AG1136" s="10"/>
      <c r="AH1136" s="10"/>
      <c r="AI1136" s="10"/>
      <c r="AJ1136" s="10"/>
      <c r="AK1136" s="10"/>
      <c r="AL1136" s="10"/>
      <c r="AM1136" s="10"/>
    </row>
    <row r="1137" spans="1:39" ht="15.75" customHeight="1" x14ac:dyDescent="0.2">
      <c r="A1137" s="9"/>
      <c r="B1137" s="9"/>
      <c r="C1137" s="9"/>
      <c r="D1137" s="9"/>
      <c r="E1137" s="9"/>
      <c r="F1137" s="9"/>
      <c r="G1137" s="9"/>
      <c r="H1137" s="9"/>
      <c r="I1137" s="9"/>
      <c r="J1137" s="9"/>
      <c r="K1137" s="9"/>
      <c r="L1137" s="9"/>
      <c r="M1137" s="9"/>
      <c r="N1137" s="9"/>
      <c r="O1137" s="9"/>
      <c r="P1137" s="212"/>
      <c r="Q1137" s="9"/>
      <c r="R1137" s="9"/>
      <c r="S1137" s="9"/>
      <c r="T1137" s="9"/>
      <c r="U1137" s="9"/>
      <c r="V1137" s="9"/>
      <c r="W1137" s="9"/>
      <c r="X1137" s="9"/>
      <c r="Y1137" s="9"/>
      <c r="Z1137" s="9"/>
      <c r="AA1137" s="9"/>
      <c r="AB1137" s="212"/>
      <c r="AC1137" s="9"/>
      <c r="AD1137" s="9"/>
      <c r="AE1137" s="10"/>
      <c r="AF1137" s="10"/>
      <c r="AG1137" s="10"/>
      <c r="AH1137" s="10"/>
      <c r="AI1137" s="10"/>
      <c r="AJ1137" s="10"/>
      <c r="AK1137" s="10"/>
      <c r="AL1137" s="10"/>
      <c r="AM1137" s="10"/>
    </row>
    <row r="1138" spans="1:39" ht="15.75" customHeight="1" x14ac:dyDescent="0.2">
      <c r="A1138" s="9"/>
      <c r="B1138" s="9"/>
      <c r="C1138" s="9"/>
      <c r="D1138" s="9"/>
      <c r="E1138" s="9"/>
      <c r="F1138" s="9"/>
      <c r="G1138" s="9"/>
      <c r="H1138" s="9"/>
      <c r="I1138" s="9"/>
      <c r="J1138" s="9"/>
      <c r="K1138" s="9"/>
      <c r="L1138" s="9"/>
      <c r="M1138" s="9"/>
      <c r="N1138" s="9"/>
      <c r="O1138" s="9"/>
      <c r="P1138" s="212"/>
      <c r="Q1138" s="9"/>
      <c r="R1138" s="9"/>
      <c r="S1138" s="9"/>
      <c r="T1138" s="9"/>
      <c r="U1138" s="9"/>
      <c r="V1138" s="9"/>
      <c r="W1138" s="9"/>
      <c r="X1138" s="9"/>
      <c r="Y1138" s="9"/>
      <c r="Z1138" s="9"/>
      <c r="AA1138" s="9"/>
      <c r="AB1138" s="212"/>
      <c r="AC1138" s="9"/>
      <c r="AD1138" s="9"/>
      <c r="AE1138" s="10"/>
      <c r="AF1138" s="10"/>
      <c r="AG1138" s="10"/>
      <c r="AH1138" s="10"/>
      <c r="AI1138" s="10"/>
      <c r="AJ1138" s="10"/>
      <c r="AK1138" s="10"/>
      <c r="AL1138" s="10"/>
      <c r="AM1138" s="10"/>
    </row>
    <row r="1139" spans="1:39" ht="15.75" customHeight="1" x14ac:dyDescent="0.2">
      <c r="A1139" s="9"/>
      <c r="B1139" s="9"/>
      <c r="C1139" s="9"/>
      <c r="D1139" s="9"/>
      <c r="E1139" s="9"/>
      <c r="F1139" s="9"/>
      <c r="G1139" s="9"/>
      <c r="H1139" s="9"/>
      <c r="I1139" s="9"/>
      <c r="J1139" s="9"/>
      <c r="K1139" s="9"/>
      <c r="L1139" s="9"/>
      <c r="M1139" s="9"/>
      <c r="N1139" s="9"/>
      <c r="O1139" s="9"/>
      <c r="P1139" s="212"/>
      <c r="Q1139" s="9"/>
      <c r="R1139" s="9"/>
      <c r="S1139" s="9"/>
      <c r="T1139" s="9"/>
      <c r="U1139" s="9"/>
      <c r="V1139" s="9"/>
      <c r="W1139" s="9"/>
      <c r="X1139" s="9"/>
      <c r="Y1139" s="9"/>
      <c r="Z1139" s="9"/>
      <c r="AA1139" s="9"/>
      <c r="AB1139" s="212"/>
      <c r="AC1139" s="9"/>
      <c r="AD1139" s="9"/>
      <c r="AE1139" s="10"/>
      <c r="AF1139" s="10"/>
      <c r="AG1139" s="10"/>
      <c r="AH1139" s="10"/>
      <c r="AI1139" s="10"/>
      <c r="AJ1139" s="10"/>
      <c r="AK1139" s="10"/>
      <c r="AL1139" s="10"/>
      <c r="AM1139" s="10"/>
    </row>
    <row r="1140" spans="1:39" ht="15.75" customHeight="1" x14ac:dyDescent="0.2">
      <c r="A1140" s="9"/>
      <c r="B1140" s="9"/>
      <c r="C1140" s="9"/>
      <c r="D1140" s="9"/>
      <c r="E1140" s="9"/>
      <c r="F1140" s="9"/>
      <c r="G1140" s="9"/>
      <c r="H1140" s="9"/>
      <c r="I1140" s="9"/>
      <c r="J1140" s="9"/>
      <c r="K1140" s="9"/>
      <c r="L1140" s="9"/>
      <c r="M1140" s="9"/>
      <c r="N1140" s="9"/>
      <c r="O1140" s="9"/>
      <c r="P1140" s="212"/>
      <c r="Q1140" s="9"/>
      <c r="R1140" s="9"/>
      <c r="S1140" s="9"/>
      <c r="T1140" s="9"/>
      <c r="U1140" s="9"/>
      <c r="V1140" s="9"/>
      <c r="W1140" s="9"/>
      <c r="X1140" s="9"/>
      <c r="Y1140" s="9"/>
      <c r="Z1140" s="9"/>
      <c r="AA1140" s="9"/>
      <c r="AB1140" s="212"/>
      <c r="AC1140" s="9"/>
      <c r="AD1140" s="9"/>
      <c r="AE1140" s="10"/>
      <c r="AF1140" s="10"/>
      <c r="AG1140" s="10"/>
      <c r="AH1140" s="10"/>
      <c r="AI1140" s="10"/>
      <c r="AJ1140" s="10"/>
      <c r="AK1140" s="10"/>
      <c r="AL1140" s="10"/>
      <c r="AM1140" s="10"/>
    </row>
    <row r="1141" spans="1:39" ht="15.75" customHeight="1" x14ac:dyDescent="0.2">
      <c r="A1141" s="9"/>
      <c r="B1141" s="9"/>
      <c r="C1141" s="9"/>
      <c r="D1141" s="9"/>
      <c r="E1141" s="9"/>
      <c r="F1141" s="9"/>
      <c r="G1141" s="9"/>
      <c r="H1141" s="9"/>
      <c r="I1141" s="9"/>
      <c r="J1141" s="9"/>
      <c r="K1141" s="9"/>
      <c r="L1141" s="9"/>
      <c r="M1141" s="9"/>
      <c r="N1141" s="9"/>
      <c r="O1141" s="9"/>
      <c r="P1141" s="212"/>
      <c r="Q1141" s="9"/>
      <c r="R1141" s="9"/>
      <c r="S1141" s="9"/>
      <c r="T1141" s="9"/>
      <c r="U1141" s="9"/>
      <c r="V1141" s="9"/>
      <c r="W1141" s="9"/>
      <c r="X1141" s="9"/>
      <c r="Y1141" s="9"/>
      <c r="Z1141" s="9"/>
      <c r="AA1141" s="9"/>
      <c r="AB1141" s="212"/>
      <c r="AC1141" s="9"/>
      <c r="AD1141" s="9"/>
      <c r="AE1141" s="10"/>
      <c r="AF1141" s="10"/>
      <c r="AG1141" s="10"/>
      <c r="AH1141" s="10"/>
      <c r="AI1141" s="10"/>
      <c r="AJ1141" s="10"/>
      <c r="AK1141" s="10"/>
      <c r="AL1141" s="10"/>
      <c r="AM1141" s="10"/>
    </row>
    <row r="1142" spans="1:39" ht="15.75" customHeight="1" x14ac:dyDescent="0.2">
      <c r="A1142" s="9"/>
      <c r="B1142" s="9"/>
      <c r="C1142" s="9"/>
      <c r="D1142" s="9"/>
      <c r="E1142" s="9"/>
      <c r="F1142" s="9"/>
      <c r="G1142" s="9"/>
      <c r="H1142" s="9"/>
      <c r="I1142" s="9"/>
      <c r="J1142" s="9"/>
      <c r="K1142" s="9"/>
      <c r="L1142" s="9"/>
      <c r="M1142" s="9"/>
      <c r="N1142" s="9"/>
      <c r="O1142" s="9"/>
      <c r="P1142" s="212"/>
      <c r="Q1142" s="9"/>
      <c r="R1142" s="9"/>
      <c r="S1142" s="9"/>
      <c r="T1142" s="9"/>
      <c r="U1142" s="9"/>
      <c r="V1142" s="9"/>
      <c r="W1142" s="9"/>
      <c r="X1142" s="9"/>
      <c r="Y1142" s="9"/>
      <c r="Z1142" s="9"/>
      <c r="AA1142" s="9"/>
      <c r="AB1142" s="212"/>
      <c r="AC1142" s="9"/>
      <c r="AD1142" s="9"/>
      <c r="AE1142" s="10"/>
      <c r="AF1142" s="10"/>
      <c r="AG1142" s="10"/>
      <c r="AH1142" s="10"/>
      <c r="AI1142" s="10"/>
      <c r="AJ1142" s="10"/>
      <c r="AK1142" s="10"/>
      <c r="AL1142" s="10"/>
      <c r="AM1142" s="10"/>
    </row>
    <row r="1143" spans="1:39" ht="15.75" customHeight="1" x14ac:dyDescent="0.2">
      <c r="A1143" s="9"/>
      <c r="B1143" s="9"/>
      <c r="C1143" s="9"/>
      <c r="D1143" s="9"/>
      <c r="E1143" s="9"/>
      <c r="F1143" s="9"/>
      <c r="G1143" s="9"/>
      <c r="H1143" s="9"/>
      <c r="I1143" s="9"/>
      <c r="J1143" s="9"/>
      <c r="K1143" s="9"/>
      <c r="L1143" s="9"/>
      <c r="M1143" s="9"/>
      <c r="N1143" s="9"/>
      <c r="O1143" s="9"/>
      <c r="P1143" s="212"/>
      <c r="Q1143" s="9"/>
      <c r="R1143" s="9"/>
      <c r="S1143" s="9"/>
      <c r="T1143" s="9"/>
      <c r="U1143" s="9"/>
      <c r="V1143" s="9"/>
      <c r="W1143" s="9"/>
      <c r="X1143" s="9"/>
      <c r="Y1143" s="9"/>
      <c r="Z1143" s="9"/>
      <c r="AA1143" s="9"/>
      <c r="AB1143" s="212"/>
      <c r="AC1143" s="9"/>
      <c r="AD1143" s="9"/>
      <c r="AE1143" s="10"/>
      <c r="AF1143" s="10"/>
      <c r="AG1143" s="10"/>
      <c r="AH1143" s="10"/>
      <c r="AI1143" s="10"/>
      <c r="AJ1143" s="10"/>
      <c r="AK1143" s="10"/>
      <c r="AL1143" s="10"/>
      <c r="AM1143" s="10"/>
    </row>
    <row r="1144" spans="1:39" ht="15.75" customHeight="1" x14ac:dyDescent="0.2">
      <c r="A1144" s="9"/>
      <c r="B1144" s="9"/>
      <c r="C1144" s="9"/>
      <c r="D1144" s="9"/>
      <c r="E1144" s="9"/>
      <c r="F1144" s="9"/>
      <c r="G1144" s="9"/>
      <c r="H1144" s="9"/>
      <c r="I1144" s="9"/>
      <c r="J1144" s="9"/>
      <c r="K1144" s="9"/>
      <c r="L1144" s="9"/>
      <c r="M1144" s="9"/>
      <c r="N1144" s="9"/>
      <c r="O1144" s="9"/>
      <c r="P1144" s="212"/>
      <c r="Q1144" s="9"/>
      <c r="R1144" s="9"/>
      <c r="S1144" s="9"/>
      <c r="T1144" s="9"/>
      <c r="U1144" s="9"/>
      <c r="V1144" s="9"/>
      <c r="W1144" s="9"/>
      <c r="X1144" s="9"/>
      <c r="Y1144" s="9"/>
      <c r="Z1144" s="9"/>
      <c r="AA1144" s="9"/>
      <c r="AB1144" s="212"/>
      <c r="AC1144" s="9"/>
      <c r="AD1144" s="9"/>
      <c r="AE1144" s="10"/>
      <c r="AF1144" s="10"/>
      <c r="AG1144" s="10"/>
      <c r="AH1144" s="10"/>
      <c r="AI1144" s="10"/>
      <c r="AJ1144" s="10"/>
      <c r="AK1144" s="10"/>
      <c r="AL1144" s="10"/>
      <c r="AM1144" s="10"/>
    </row>
    <row r="1145" spans="1:39" ht="15.75" customHeight="1" x14ac:dyDescent="0.2">
      <c r="A1145" s="9"/>
      <c r="B1145" s="9"/>
      <c r="C1145" s="9"/>
      <c r="D1145" s="9"/>
      <c r="E1145" s="9"/>
      <c r="F1145" s="9"/>
      <c r="G1145" s="9"/>
      <c r="H1145" s="9"/>
      <c r="I1145" s="9"/>
      <c r="J1145" s="9"/>
      <c r="K1145" s="9"/>
      <c r="L1145" s="9"/>
      <c r="M1145" s="9"/>
      <c r="N1145" s="9"/>
      <c r="O1145" s="9"/>
      <c r="P1145" s="212"/>
      <c r="Q1145" s="9"/>
      <c r="R1145" s="9"/>
      <c r="S1145" s="9"/>
      <c r="T1145" s="9"/>
      <c r="U1145" s="9"/>
      <c r="V1145" s="9"/>
      <c r="W1145" s="9"/>
      <c r="X1145" s="9"/>
      <c r="Y1145" s="9"/>
      <c r="Z1145" s="9"/>
      <c r="AA1145" s="9"/>
      <c r="AB1145" s="212"/>
      <c r="AC1145" s="9"/>
      <c r="AD1145" s="9"/>
      <c r="AE1145" s="10"/>
      <c r="AF1145" s="10"/>
      <c r="AG1145" s="10"/>
      <c r="AH1145" s="10"/>
      <c r="AI1145" s="10"/>
      <c r="AJ1145" s="10"/>
      <c r="AK1145" s="10"/>
      <c r="AL1145" s="10"/>
      <c r="AM1145" s="10"/>
    </row>
    <row r="1146" spans="1:39" ht="15.75" customHeight="1" x14ac:dyDescent="0.2">
      <c r="A1146" s="9"/>
      <c r="B1146" s="9"/>
      <c r="C1146" s="9"/>
      <c r="D1146" s="9"/>
      <c r="E1146" s="9"/>
      <c r="F1146" s="9"/>
      <c r="G1146" s="9"/>
      <c r="H1146" s="9"/>
      <c r="I1146" s="9"/>
      <c r="J1146" s="9"/>
      <c r="K1146" s="9"/>
      <c r="L1146" s="9"/>
      <c r="M1146" s="9"/>
      <c r="N1146" s="9"/>
      <c r="O1146" s="9"/>
      <c r="P1146" s="212"/>
      <c r="Q1146" s="9"/>
      <c r="R1146" s="9"/>
      <c r="S1146" s="9"/>
      <c r="T1146" s="9"/>
      <c r="U1146" s="9"/>
      <c r="V1146" s="9"/>
      <c r="W1146" s="9"/>
      <c r="X1146" s="9"/>
      <c r="Y1146" s="9"/>
      <c r="Z1146" s="9"/>
      <c r="AA1146" s="9"/>
      <c r="AB1146" s="212"/>
      <c r="AC1146" s="9"/>
      <c r="AD1146" s="9"/>
      <c r="AE1146" s="10"/>
      <c r="AF1146" s="10"/>
      <c r="AG1146" s="10"/>
      <c r="AH1146" s="10"/>
      <c r="AI1146" s="10"/>
      <c r="AJ1146" s="10"/>
      <c r="AK1146" s="10"/>
      <c r="AL1146" s="10"/>
      <c r="AM1146" s="10"/>
    </row>
    <row r="1147" spans="1:39" ht="15.75" customHeight="1" x14ac:dyDescent="0.2">
      <c r="A1147" s="9"/>
      <c r="B1147" s="9"/>
      <c r="C1147" s="9"/>
      <c r="D1147" s="9"/>
      <c r="E1147" s="9"/>
      <c r="F1147" s="9"/>
      <c r="G1147" s="9"/>
      <c r="H1147" s="9"/>
      <c r="I1147" s="9"/>
      <c r="J1147" s="9"/>
      <c r="K1147" s="9"/>
      <c r="L1147" s="9"/>
      <c r="M1147" s="9"/>
      <c r="N1147" s="9"/>
      <c r="O1147" s="9"/>
      <c r="P1147" s="212"/>
      <c r="Q1147" s="9"/>
      <c r="R1147" s="9"/>
      <c r="S1147" s="9"/>
      <c r="T1147" s="9"/>
      <c r="U1147" s="9"/>
      <c r="V1147" s="9"/>
      <c r="W1147" s="9"/>
      <c r="X1147" s="9"/>
      <c r="Y1147" s="9"/>
      <c r="Z1147" s="9"/>
      <c r="AA1147" s="9"/>
      <c r="AB1147" s="212"/>
      <c r="AC1147" s="9"/>
      <c r="AD1147" s="9"/>
      <c r="AE1147" s="10"/>
      <c r="AF1147" s="10"/>
      <c r="AG1147" s="10"/>
      <c r="AH1147" s="10"/>
      <c r="AI1147" s="10"/>
      <c r="AJ1147" s="10"/>
      <c r="AK1147" s="10"/>
      <c r="AL1147" s="10"/>
      <c r="AM1147" s="10"/>
    </row>
    <row r="1148" spans="1:39" ht="15.75" customHeight="1" x14ac:dyDescent="0.2">
      <c r="A1148" s="9"/>
      <c r="B1148" s="9"/>
      <c r="C1148" s="9"/>
      <c r="D1148" s="9"/>
      <c r="E1148" s="9"/>
      <c r="F1148" s="9"/>
      <c r="G1148" s="9"/>
      <c r="H1148" s="9"/>
      <c r="I1148" s="9"/>
      <c r="J1148" s="9"/>
      <c r="K1148" s="9"/>
      <c r="L1148" s="9"/>
      <c r="M1148" s="9"/>
      <c r="N1148" s="9"/>
      <c r="O1148" s="9"/>
      <c r="P1148" s="212"/>
      <c r="Q1148" s="9"/>
      <c r="R1148" s="9"/>
      <c r="S1148" s="9"/>
      <c r="T1148" s="9"/>
      <c r="U1148" s="9"/>
      <c r="V1148" s="9"/>
      <c r="W1148" s="9"/>
      <c r="X1148" s="9"/>
      <c r="Y1148" s="9"/>
      <c r="Z1148" s="9"/>
      <c r="AA1148" s="9"/>
      <c r="AB1148" s="212"/>
      <c r="AC1148" s="9"/>
      <c r="AD1148" s="9"/>
      <c r="AE1148" s="10"/>
      <c r="AF1148" s="10"/>
      <c r="AG1148" s="10"/>
      <c r="AH1148" s="10"/>
      <c r="AI1148" s="10"/>
      <c r="AJ1148" s="10"/>
      <c r="AK1148" s="10"/>
      <c r="AL1148" s="10"/>
      <c r="AM1148" s="10"/>
    </row>
    <row r="1149" spans="1:39" ht="15.75" customHeight="1" x14ac:dyDescent="0.2">
      <c r="A1149" s="9"/>
      <c r="B1149" s="9"/>
      <c r="C1149" s="9"/>
      <c r="D1149" s="9"/>
      <c r="E1149" s="9"/>
      <c r="F1149" s="9"/>
      <c r="G1149" s="9"/>
      <c r="H1149" s="9"/>
      <c r="I1149" s="9"/>
      <c r="J1149" s="9"/>
      <c r="K1149" s="9"/>
      <c r="L1149" s="9"/>
      <c r="M1149" s="9"/>
      <c r="N1149" s="9"/>
      <c r="O1149" s="9"/>
      <c r="P1149" s="212"/>
      <c r="Q1149" s="9"/>
      <c r="R1149" s="9"/>
      <c r="S1149" s="9"/>
      <c r="T1149" s="9"/>
      <c r="U1149" s="9"/>
      <c r="V1149" s="9"/>
      <c r="W1149" s="9"/>
      <c r="X1149" s="9"/>
      <c r="Y1149" s="9"/>
      <c r="Z1149" s="9"/>
      <c r="AA1149" s="9"/>
      <c r="AB1149" s="212"/>
      <c r="AC1149" s="9"/>
      <c r="AD1149" s="9"/>
      <c r="AE1149" s="10"/>
      <c r="AF1149" s="10"/>
      <c r="AG1149" s="10"/>
      <c r="AH1149" s="10"/>
      <c r="AI1149" s="10"/>
      <c r="AJ1149" s="10"/>
      <c r="AK1149" s="10"/>
      <c r="AL1149" s="10"/>
      <c r="AM1149" s="10"/>
    </row>
    <row r="1150" spans="1:39" ht="15.75" customHeight="1" x14ac:dyDescent="0.2">
      <c r="A1150" s="9"/>
      <c r="B1150" s="9"/>
      <c r="C1150" s="9"/>
      <c r="D1150" s="9"/>
      <c r="E1150" s="9"/>
      <c r="F1150" s="9"/>
      <c r="G1150" s="9"/>
      <c r="H1150" s="9"/>
      <c r="I1150" s="9"/>
      <c r="J1150" s="9"/>
      <c r="K1150" s="9"/>
      <c r="L1150" s="9"/>
      <c r="M1150" s="9"/>
      <c r="N1150" s="9"/>
      <c r="O1150" s="9"/>
      <c r="P1150" s="212"/>
      <c r="Q1150" s="9"/>
      <c r="R1150" s="9"/>
      <c r="S1150" s="9"/>
      <c r="T1150" s="9"/>
      <c r="U1150" s="9"/>
      <c r="V1150" s="9"/>
      <c r="W1150" s="9"/>
      <c r="X1150" s="9"/>
      <c r="Y1150" s="9"/>
      <c r="Z1150" s="9"/>
      <c r="AA1150" s="9"/>
      <c r="AB1150" s="212"/>
      <c r="AC1150" s="9"/>
      <c r="AD1150" s="9"/>
      <c r="AE1150" s="10"/>
      <c r="AF1150" s="10"/>
      <c r="AG1150" s="10"/>
      <c r="AH1150" s="10"/>
      <c r="AI1150" s="10"/>
      <c r="AJ1150" s="10"/>
      <c r="AK1150" s="10"/>
      <c r="AL1150" s="10"/>
      <c r="AM1150" s="10"/>
    </row>
    <row r="1151" spans="1:39" ht="15.75" customHeight="1" x14ac:dyDescent="0.2">
      <c r="A1151" s="9"/>
      <c r="B1151" s="9"/>
      <c r="C1151" s="9"/>
      <c r="D1151" s="9"/>
      <c r="E1151" s="9"/>
      <c r="F1151" s="9"/>
      <c r="G1151" s="9"/>
      <c r="H1151" s="9"/>
      <c r="I1151" s="9"/>
      <c r="J1151" s="9"/>
      <c r="K1151" s="9"/>
      <c r="L1151" s="9"/>
      <c r="M1151" s="9"/>
      <c r="N1151" s="9"/>
      <c r="O1151" s="9"/>
      <c r="P1151" s="212"/>
      <c r="Q1151" s="9"/>
      <c r="R1151" s="9"/>
      <c r="S1151" s="9"/>
      <c r="T1151" s="9"/>
      <c r="U1151" s="9"/>
      <c r="V1151" s="9"/>
      <c r="W1151" s="9"/>
      <c r="X1151" s="9"/>
      <c r="Y1151" s="9"/>
      <c r="Z1151" s="9"/>
      <c r="AA1151" s="9"/>
      <c r="AB1151" s="212"/>
      <c r="AC1151" s="9"/>
      <c r="AD1151" s="9"/>
      <c r="AE1151" s="10"/>
      <c r="AF1151" s="10"/>
      <c r="AG1151" s="10"/>
      <c r="AH1151" s="10"/>
      <c r="AI1151" s="10"/>
      <c r="AJ1151" s="10"/>
      <c r="AK1151" s="10"/>
      <c r="AL1151" s="10"/>
      <c r="AM1151" s="10"/>
    </row>
    <row r="1152" spans="1:39" ht="15.75" customHeight="1" x14ac:dyDescent="0.2">
      <c r="A1152" s="9"/>
      <c r="B1152" s="9"/>
      <c r="C1152" s="9"/>
      <c r="D1152" s="9"/>
      <c r="E1152" s="9"/>
      <c r="F1152" s="9"/>
      <c r="G1152" s="9"/>
      <c r="H1152" s="9"/>
      <c r="I1152" s="9"/>
      <c r="J1152" s="9"/>
      <c r="K1152" s="9"/>
      <c r="L1152" s="9"/>
      <c r="M1152" s="9"/>
      <c r="N1152" s="9"/>
      <c r="O1152" s="9"/>
      <c r="P1152" s="212"/>
      <c r="Q1152" s="9"/>
      <c r="R1152" s="9"/>
      <c r="S1152" s="9"/>
      <c r="T1152" s="9"/>
      <c r="U1152" s="9"/>
      <c r="V1152" s="9"/>
      <c r="W1152" s="9"/>
      <c r="X1152" s="9"/>
      <c r="Y1152" s="9"/>
      <c r="Z1152" s="9"/>
      <c r="AA1152" s="9"/>
      <c r="AB1152" s="212"/>
      <c r="AC1152" s="9"/>
      <c r="AD1152" s="9"/>
      <c r="AE1152" s="10"/>
      <c r="AF1152" s="10"/>
      <c r="AG1152" s="10"/>
      <c r="AH1152" s="10"/>
      <c r="AI1152" s="10"/>
      <c r="AJ1152" s="10"/>
      <c r="AK1152" s="10"/>
      <c r="AL1152" s="10"/>
      <c r="AM1152" s="10"/>
    </row>
    <row r="1153" spans="1:39" ht="15.75" customHeight="1" x14ac:dyDescent="0.2">
      <c r="A1153" s="9"/>
      <c r="B1153" s="9"/>
      <c r="C1153" s="9"/>
      <c r="D1153" s="9"/>
      <c r="E1153" s="9"/>
      <c r="F1153" s="9"/>
      <c r="G1153" s="9"/>
      <c r="H1153" s="9"/>
      <c r="I1153" s="9"/>
      <c r="J1153" s="9"/>
      <c r="K1153" s="9"/>
      <c r="L1153" s="9"/>
      <c r="M1153" s="9"/>
      <c r="N1153" s="9"/>
      <c r="O1153" s="9"/>
      <c r="P1153" s="212"/>
      <c r="Q1153" s="9"/>
      <c r="R1153" s="9"/>
      <c r="S1153" s="9"/>
      <c r="T1153" s="9"/>
      <c r="U1153" s="9"/>
      <c r="V1153" s="9"/>
      <c r="W1153" s="9"/>
      <c r="X1153" s="9"/>
      <c r="Y1153" s="9"/>
      <c r="Z1153" s="9"/>
      <c r="AA1153" s="9"/>
      <c r="AB1153" s="212"/>
      <c r="AC1153" s="9"/>
      <c r="AD1153" s="9"/>
      <c r="AE1153" s="10"/>
      <c r="AF1153" s="10"/>
      <c r="AG1153" s="10"/>
      <c r="AH1153" s="10"/>
      <c r="AI1153" s="10"/>
      <c r="AJ1153" s="10"/>
      <c r="AK1153" s="10"/>
      <c r="AL1153" s="10"/>
      <c r="AM1153" s="10"/>
    </row>
    <row r="1154" spans="1:39" ht="15.75" customHeight="1" x14ac:dyDescent="0.2">
      <c r="A1154" s="9"/>
      <c r="B1154" s="9"/>
      <c r="C1154" s="9"/>
      <c r="D1154" s="9"/>
      <c r="E1154" s="9"/>
      <c r="F1154" s="9"/>
      <c r="G1154" s="9"/>
      <c r="H1154" s="9"/>
      <c r="I1154" s="9"/>
      <c r="J1154" s="9"/>
      <c r="K1154" s="9"/>
      <c r="L1154" s="9"/>
      <c r="M1154" s="9"/>
      <c r="N1154" s="9"/>
      <c r="O1154" s="9"/>
      <c r="P1154" s="212"/>
      <c r="Q1154" s="9"/>
      <c r="R1154" s="9"/>
      <c r="S1154" s="9"/>
      <c r="T1154" s="9"/>
      <c r="U1154" s="9"/>
      <c r="V1154" s="9"/>
      <c r="W1154" s="9"/>
      <c r="X1154" s="9"/>
      <c r="Y1154" s="9"/>
      <c r="Z1154" s="9"/>
      <c r="AA1154" s="9"/>
      <c r="AB1154" s="212"/>
      <c r="AC1154" s="9"/>
      <c r="AD1154" s="9"/>
      <c r="AE1154" s="10"/>
      <c r="AF1154" s="10"/>
      <c r="AG1154" s="10"/>
      <c r="AH1154" s="10"/>
      <c r="AI1154" s="10"/>
      <c r="AJ1154" s="10"/>
      <c r="AK1154" s="10"/>
      <c r="AL1154" s="10"/>
      <c r="AM1154" s="10"/>
    </row>
    <row r="1155" spans="1:39" ht="15.75" customHeight="1" x14ac:dyDescent="0.2">
      <c r="A1155" s="9"/>
      <c r="B1155" s="9"/>
      <c r="C1155" s="9"/>
      <c r="D1155" s="9"/>
      <c r="E1155" s="9"/>
      <c r="F1155" s="9"/>
      <c r="G1155" s="9"/>
      <c r="H1155" s="9"/>
      <c r="I1155" s="9"/>
      <c r="J1155" s="9"/>
      <c r="K1155" s="9"/>
      <c r="L1155" s="9"/>
      <c r="M1155" s="9"/>
      <c r="N1155" s="9"/>
      <c r="O1155" s="9"/>
      <c r="P1155" s="212"/>
      <c r="Q1155" s="9"/>
      <c r="R1155" s="9"/>
      <c r="S1155" s="9"/>
      <c r="T1155" s="9"/>
      <c r="U1155" s="9"/>
      <c r="V1155" s="9"/>
      <c r="W1155" s="9"/>
      <c r="X1155" s="9"/>
      <c r="Y1155" s="9"/>
      <c r="Z1155" s="9"/>
      <c r="AA1155" s="9"/>
      <c r="AB1155" s="212"/>
      <c r="AC1155" s="9"/>
      <c r="AD1155" s="9"/>
      <c r="AE1155" s="10"/>
      <c r="AF1155" s="10"/>
      <c r="AG1155" s="10"/>
      <c r="AH1155" s="10"/>
      <c r="AI1155" s="10"/>
      <c r="AJ1155" s="10"/>
      <c r="AK1155" s="10"/>
      <c r="AL1155" s="10"/>
      <c r="AM1155" s="10"/>
    </row>
    <row r="1156" spans="1:39" ht="15.75" customHeight="1" x14ac:dyDescent="0.2">
      <c r="A1156" s="9"/>
      <c r="B1156" s="9"/>
      <c r="C1156" s="9"/>
      <c r="D1156" s="9"/>
      <c r="E1156" s="9"/>
      <c r="F1156" s="9"/>
      <c r="G1156" s="9"/>
      <c r="H1156" s="9"/>
      <c r="I1156" s="9"/>
      <c r="J1156" s="9"/>
      <c r="K1156" s="9"/>
      <c r="L1156" s="9"/>
      <c r="M1156" s="9"/>
      <c r="N1156" s="9"/>
      <c r="O1156" s="9"/>
      <c r="P1156" s="212"/>
      <c r="Q1156" s="9"/>
      <c r="R1156" s="9"/>
      <c r="S1156" s="9"/>
      <c r="T1156" s="9"/>
      <c r="U1156" s="9"/>
      <c r="V1156" s="9"/>
      <c r="W1156" s="9"/>
      <c r="X1156" s="9"/>
      <c r="Y1156" s="9"/>
      <c r="Z1156" s="9"/>
      <c r="AA1156" s="9"/>
      <c r="AB1156" s="212"/>
      <c r="AC1156" s="9"/>
      <c r="AD1156" s="9"/>
      <c r="AE1156" s="10"/>
      <c r="AF1156" s="10"/>
      <c r="AG1156" s="10"/>
      <c r="AH1156" s="10"/>
      <c r="AI1156" s="10"/>
      <c r="AJ1156" s="10"/>
      <c r="AK1156" s="10"/>
      <c r="AL1156" s="10"/>
      <c r="AM1156" s="10"/>
    </row>
    <row r="1157" spans="1:39" ht="15.75" customHeight="1" x14ac:dyDescent="0.2">
      <c r="A1157" s="9"/>
      <c r="B1157" s="9"/>
      <c r="C1157" s="9"/>
      <c r="D1157" s="9"/>
      <c r="E1157" s="9"/>
      <c r="F1157" s="9"/>
      <c r="G1157" s="9"/>
      <c r="H1157" s="9"/>
      <c r="I1157" s="9"/>
      <c r="J1157" s="9"/>
      <c r="K1157" s="9"/>
      <c r="L1157" s="9"/>
      <c r="M1157" s="9"/>
      <c r="N1157" s="9"/>
      <c r="O1157" s="9"/>
      <c r="P1157" s="212"/>
      <c r="Q1157" s="9"/>
      <c r="R1157" s="9"/>
      <c r="S1157" s="9"/>
      <c r="T1157" s="9"/>
      <c r="U1157" s="9"/>
      <c r="V1157" s="9"/>
      <c r="W1157" s="9"/>
      <c r="X1157" s="9"/>
      <c r="Y1157" s="9"/>
      <c r="Z1157" s="9"/>
      <c r="AA1157" s="9"/>
      <c r="AB1157" s="212"/>
      <c r="AC1157" s="9"/>
      <c r="AD1157" s="9"/>
      <c r="AE1157" s="10"/>
      <c r="AF1157" s="10"/>
      <c r="AG1157" s="10"/>
      <c r="AH1157" s="10"/>
      <c r="AI1157" s="10"/>
      <c r="AJ1157" s="10"/>
      <c r="AK1157" s="10"/>
      <c r="AL1157" s="10"/>
      <c r="AM1157" s="10"/>
    </row>
    <row r="1158" spans="1:39" ht="15.75" customHeight="1" x14ac:dyDescent="0.2">
      <c r="A1158" s="9"/>
      <c r="B1158" s="9"/>
      <c r="C1158" s="9"/>
      <c r="D1158" s="9"/>
      <c r="E1158" s="9"/>
      <c r="F1158" s="9"/>
      <c r="G1158" s="9"/>
      <c r="H1158" s="9"/>
      <c r="I1158" s="9"/>
      <c r="J1158" s="9"/>
      <c r="K1158" s="9"/>
      <c r="L1158" s="9"/>
      <c r="M1158" s="9"/>
      <c r="N1158" s="9"/>
      <c r="O1158" s="9"/>
      <c r="P1158" s="212"/>
      <c r="Q1158" s="9"/>
      <c r="R1158" s="9"/>
      <c r="S1158" s="9"/>
      <c r="T1158" s="9"/>
      <c r="U1158" s="9"/>
      <c r="V1158" s="9"/>
      <c r="W1158" s="9"/>
      <c r="X1158" s="9"/>
      <c r="Y1158" s="9"/>
      <c r="Z1158" s="9"/>
      <c r="AA1158" s="9"/>
      <c r="AB1158" s="212"/>
      <c r="AC1158" s="9"/>
      <c r="AD1158" s="9"/>
      <c r="AE1158" s="10"/>
      <c r="AF1158" s="10"/>
      <c r="AG1158" s="10"/>
      <c r="AH1158" s="10"/>
      <c r="AI1158" s="10"/>
      <c r="AJ1158" s="10"/>
      <c r="AK1158" s="10"/>
      <c r="AL1158" s="10"/>
      <c r="AM1158" s="10"/>
    </row>
    <row r="1159" spans="1:39" ht="15.75" customHeight="1" x14ac:dyDescent="0.2">
      <c r="A1159" s="9"/>
      <c r="B1159" s="9"/>
      <c r="C1159" s="9"/>
      <c r="D1159" s="9"/>
      <c r="E1159" s="9"/>
      <c r="F1159" s="9"/>
      <c r="G1159" s="9"/>
      <c r="H1159" s="9"/>
      <c r="I1159" s="9"/>
      <c r="J1159" s="9"/>
      <c r="K1159" s="9"/>
      <c r="L1159" s="9"/>
      <c r="M1159" s="9"/>
      <c r="N1159" s="9"/>
      <c r="O1159" s="9"/>
      <c r="P1159" s="212"/>
      <c r="Q1159" s="9"/>
      <c r="R1159" s="9"/>
      <c r="S1159" s="9"/>
      <c r="T1159" s="9"/>
      <c r="U1159" s="9"/>
      <c r="V1159" s="9"/>
      <c r="W1159" s="9"/>
      <c r="X1159" s="9"/>
      <c r="Y1159" s="9"/>
      <c r="Z1159" s="9"/>
      <c r="AA1159" s="9"/>
      <c r="AB1159" s="212"/>
      <c r="AC1159" s="9"/>
      <c r="AD1159" s="9"/>
      <c r="AE1159" s="10"/>
      <c r="AF1159" s="10"/>
      <c r="AG1159" s="10"/>
      <c r="AH1159" s="10"/>
      <c r="AI1159" s="10"/>
      <c r="AJ1159" s="10"/>
      <c r="AK1159" s="10"/>
      <c r="AL1159" s="10"/>
      <c r="AM1159" s="10"/>
    </row>
    <row r="1160" spans="1:39" ht="15.75" customHeight="1" x14ac:dyDescent="0.2">
      <c r="A1160" s="9"/>
      <c r="B1160" s="9"/>
      <c r="C1160" s="9"/>
      <c r="D1160" s="9"/>
      <c r="E1160" s="9"/>
      <c r="F1160" s="9"/>
      <c r="G1160" s="9"/>
      <c r="H1160" s="9"/>
      <c r="I1160" s="9"/>
      <c r="J1160" s="9"/>
      <c r="K1160" s="9"/>
      <c r="L1160" s="9"/>
      <c r="M1160" s="9"/>
      <c r="N1160" s="9"/>
      <c r="O1160" s="9"/>
      <c r="P1160" s="212"/>
      <c r="Q1160" s="9"/>
      <c r="R1160" s="9"/>
      <c r="S1160" s="9"/>
      <c r="T1160" s="9"/>
      <c r="U1160" s="9"/>
      <c r="V1160" s="9"/>
      <c r="W1160" s="9"/>
      <c r="X1160" s="9"/>
      <c r="Y1160" s="9"/>
      <c r="Z1160" s="9"/>
      <c r="AA1160" s="9"/>
      <c r="AB1160" s="212"/>
      <c r="AC1160" s="9"/>
      <c r="AD1160" s="9"/>
      <c r="AE1160" s="10"/>
      <c r="AF1160" s="10"/>
      <c r="AG1160" s="10"/>
      <c r="AH1160" s="10"/>
      <c r="AI1160" s="10"/>
      <c r="AJ1160" s="10"/>
      <c r="AK1160" s="10"/>
      <c r="AL1160" s="10"/>
      <c r="AM1160" s="10"/>
    </row>
    <row r="1161" spans="1:39" ht="15.75" customHeight="1" x14ac:dyDescent="0.2">
      <c r="A1161" s="9"/>
      <c r="B1161" s="9"/>
      <c r="C1161" s="9"/>
      <c r="D1161" s="9"/>
      <c r="E1161" s="9"/>
      <c r="F1161" s="9"/>
      <c r="G1161" s="9"/>
      <c r="H1161" s="9"/>
      <c r="I1161" s="9"/>
      <c r="J1161" s="9"/>
      <c r="K1161" s="9"/>
      <c r="L1161" s="9"/>
      <c r="M1161" s="9"/>
      <c r="N1161" s="9"/>
      <c r="O1161" s="9"/>
      <c r="P1161" s="212"/>
      <c r="Q1161" s="9"/>
      <c r="R1161" s="9"/>
      <c r="S1161" s="9"/>
      <c r="T1161" s="9"/>
      <c r="U1161" s="9"/>
      <c r="V1161" s="9"/>
      <c r="W1161" s="9"/>
      <c r="X1161" s="9"/>
      <c r="Y1161" s="9"/>
      <c r="Z1161" s="9"/>
      <c r="AA1161" s="9"/>
      <c r="AB1161" s="212"/>
      <c r="AC1161" s="9"/>
      <c r="AD1161" s="9"/>
      <c r="AE1161" s="10"/>
      <c r="AF1161" s="10"/>
      <c r="AG1161" s="10"/>
      <c r="AH1161" s="10"/>
      <c r="AI1161" s="10"/>
      <c r="AJ1161" s="10"/>
      <c r="AK1161" s="10"/>
      <c r="AL1161" s="10"/>
      <c r="AM1161" s="10"/>
    </row>
    <row r="1162" spans="1:39" ht="15.75" customHeight="1" x14ac:dyDescent="0.2">
      <c r="A1162" s="9"/>
      <c r="B1162" s="9"/>
      <c r="C1162" s="9"/>
      <c r="D1162" s="9"/>
      <c r="E1162" s="9"/>
      <c r="F1162" s="9"/>
      <c r="G1162" s="9"/>
      <c r="H1162" s="9"/>
      <c r="I1162" s="9"/>
      <c r="J1162" s="9"/>
      <c r="K1162" s="9"/>
      <c r="L1162" s="9"/>
      <c r="M1162" s="9"/>
      <c r="N1162" s="9"/>
      <c r="O1162" s="9"/>
      <c r="P1162" s="212"/>
      <c r="Q1162" s="9"/>
      <c r="R1162" s="9"/>
      <c r="S1162" s="9"/>
      <c r="T1162" s="9"/>
      <c r="U1162" s="9"/>
      <c r="V1162" s="9"/>
      <c r="W1162" s="9"/>
      <c r="X1162" s="9"/>
      <c r="Y1162" s="9"/>
      <c r="Z1162" s="9"/>
      <c r="AA1162" s="9"/>
      <c r="AB1162" s="212"/>
      <c r="AC1162" s="9"/>
      <c r="AD1162" s="9"/>
      <c r="AE1162" s="10"/>
      <c r="AF1162" s="10"/>
      <c r="AG1162" s="10"/>
      <c r="AH1162" s="10"/>
      <c r="AI1162" s="10"/>
      <c r="AJ1162" s="10"/>
      <c r="AK1162" s="10"/>
      <c r="AL1162" s="10"/>
      <c r="AM1162" s="10"/>
    </row>
    <row r="1163" spans="1:39" ht="15.75" customHeight="1" x14ac:dyDescent="0.2">
      <c r="A1163" s="9"/>
      <c r="B1163" s="9"/>
      <c r="C1163" s="9"/>
      <c r="D1163" s="9"/>
      <c r="E1163" s="9"/>
      <c r="F1163" s="9"/>
      <c r="G1163" s="9"/>
      <c r="H1163" s="9"/>
      <c r="I1163" s="9"/>
      <c r="J1163" s="9"/>
      <c r="K1163" s="9"/>
      <c r="L1163" s="9"/>
      <c r="M1163" s="9"/>
      <c r="N1163" s="9"/>
      <c r="O1163" s="9"/>
      <c r="P1163" s="212"/>
      <c r="Q1163" s="9"/>
      <c r="R1163" s="9"/>
      <c r="S1163" s="9"/>
      <c r="T1163" s="9"/>
      <c r="U1163" s="9"/>
      <c r="V1163" s="9"/>
      <c r="W1163" s="9"/>
      <c r="X1163" s="9"/>
      <c r="Y1163" s="9"/>
      <c r="Z1163" s="9"/>
      <c r="AA1163" s="9"/>
      <c r="AB1163" s="212"/>
      <c r="AC1163" s="9"/>
      <c r="AD1163" s="9"/>
      <c r="AE1163" s="10"/>
      <c r="AF1163" s="10"/>
      <c r="AG1163" s="10"/>
      <c r="AH1163" s="10"/>
      <c r="AI1163" s="10"/>
      <c r="AJ1163" s="10"/>
      <c r="AK1163" s="10"/>
      <c r="AL1163" s="10"/>
      <c r="AM1163" s="10"/>
    </row>
    <row r="1164" spans="1:39" ht="15.75" customHeight="1" x14ac:dyDescent="0.2">
      <c r="A1164" s="9"/>
      <c r="B1164" s="9"/>
      <c r="C1164" s="9"/>
      <c r="D1164" s="9"/>
      <c r="E1164" s="9"/>
      <c r="F1164" s="9"/>
      <c r="G1164" s="9"/>
      <c r="H1164" s="9"/>
      <c r="I1164" s="9"/>
      <c r="J1164" s="9"/>
      <c r="K1164" s="9"/>
      <c r="L1164" s="9"/>
      <c r="M1164" s="9"/>
      <c r="N1164" s="9"/>
      <c r="O1164" s="9"/>
      <c r="P1164" s="212"/>
      <c r="Q1164" s="9"/>
      <c r="R1164" s="9"/>
      <c r="S1164" s="9"/>
      <c r="T1164" s="9"/>
      <c r="U1164" s="9"/>
      <c r="V1164" s="9"/>
      <c r="W1164" s="9"/>
      <c r="X1164" s="9"/>
      <c r="Y1164" s="9"/>
      <c r="Z1164" s="9"/>
      <c r="AA1164" s="9"/>
      <c r="AB1164" s="212"/>
      <c r="AC1164" s="9"/>
      <c r="AD1164" s="9"/>
      <c r="AE1164" s="10"/>
      <c r="AF1164" s="10"/>
      <c r="AG1164" s="10"/>
      <c r="AH1164" s="10"/>
      <c r="AI1164" s="10"/>
      <c r="AJ1164" s="10"/>
      <c r="AK1164" s="10"/>
      <c r="AL1164" s="10"/>
      <c r="AM1164" s="10"/>
    </row>
    <row r="1165" spans="1:39" ht="15.75" customHeight="1" x14ac:dyDescent="0.2">
      <c r="A1165" s="9"/>
      <c r="B1165" s="9"/>
      <c r="C1165" s="9"/>
      <c r="D1165" s="9"/>
      <c r="E1165" s="9"/>
      <c r="F1165" s="9"/>
      <c r="G1165" s="9"/>
      <c r="H1165" s="9"/>
      <c r="I1165" s="9"/>
      <c r="J1165" s="9"/>
      <c r="K1165" s="9"/>
      <c r="L1165" s="9"/>
      <c r="M1165" s="9"/>
      <c r="N1165" s="9"/>
      <c r="O1165" s="9"/>
      <c r="P1165" s="212"/>
      <c r="Q1165" s="9"/>
      <c r="R1165" s="9"/>
      <c r="S1165" s="9"/>
      <c r="T1165" s="9"/>
      <c r="U1165" s="9"/>
      <c r="V1165" s="9"/>
      <c r="W1165" s="9"/>
      <c r="X1165" s="9"/>
      <c r="Y1165" s="9"/>
      <c r="Z1165" s="9"/>
      <c r="AA1165" s="9"/>
      <c r="AB1165" s="212"/>
      <c r="AC1165" s="9"/>
      <c r="AD1165" s="9"/>
      <c r="AE1165" s="10"/>
      <c r="AF1165" s="10"/>
      <c r="AG1165" s="10"/>
      <c r="AH1165" s="10"/>
      <c r="AI1165" s="10"/>
      <c r="AJ1165" s="10"/>
      <c r="AK1165" s="10"/>
      <c r="AL1165" s="10"/>
      <c r="AM1165" s="10"/>
    </row>
    <row r="1166" spans="1:39" ht="15.75" customHeight="1" x14ac:dyDescent="0.2">
      <c r="A1166" s="9"/>
      <c r="B1166" s="9"/>
      <c r="C1166" s="9"/>
      <c r="D1166" s="9"/>
      <c r="E1166" s="9"/>
      <c r="F1166" s="9"/>
      <c r="G1166" s="9"/>
      <c r="H1166" s="9"/>
      <c r="I1166" s="9"/>
      <c r="J1166" s="9"/>
      <c r="K1166" s="9"/>
      <c r="L1166" s="9"/>
      <c r="M1166" s="9"/>
      <c r="N1166" s="9"/>
      <c r="O1166" s="9"/>
      <c r="P1166" s="212"/>
      <c r="Q1166" s="9"/>
      <c r="R1166" s="9"/>
      <c r="S1166" s="9"/>
      <c r="T1166" s="9"/>
      <c r="U1166" s="9"/>
      <c r="V1166" s="9"/>
      <c r="W1166" s="9"/>
      <c r="X1166" s="9"/>
      <c r="Y1166" s="9"/>
      <c r="Z1166" s="9"/>
      <c r="AA1166" s="9"/>
      <c r="AB1166" s="212"/>
      <c r="AC1166" s="9"/>
      <c r="AD1166" s="9"/>
      <c r="AE1166" s="10"/>
      <c r="AF1166" s="10"/>
      <c r="AG1166" s="10"/>
      <c r="AH1166" s="10"/>
      <c r="AI1166" s="10"/>
      <c r="AJ1166" s="10"/>
      <c r="AK1166" s="10"/>
      <c r="AL1166" s="10"/>
      <c r="AM1166" s="10"/>
    </row>
    <row r="1167" spans="1:39" ht="15.75" customHeight="1" x14ac:dyDescent="0.2">
      <c r="A1167" s="9"/>
      <c r="B1167" s="9"/>
      <c r="C1167" s="9"/>
      <c r="D1167" s="9"/>
      <c r="E1167" s="9"/>
      <c r="F1167" s="9"/>
      <c r="G1167" s="9"/>
      <c r="H1167" s="9"/>
      <c r="I1167" s="9"/>
      <c r="J1167" s="9"/>
      <c r="K1167" s="9"/>
      <c r="L1167" s="9"/>
      <c r="M1167" s="9"/>
      <c r="N1167" s="9"/>
      <c r="O1167" s="9"/>
      <c r="P1167" s="212"/>
      <c r="Q1167" s="9"/>
      <c r="R1167" s="9"/>
      <c r="S1167" s="9"/>
      <c r="T1167" s="9"/>
      <c r="U1167" s="9"/>
      <c r="V1167" s="9"/>
      <c r="W1167" s="9"/>
      <c r="X1167" s="9"/>
      <c r="Y1167" s="9"/>
      <c r="Z1167" s="9"/>
      <c r="AA1167" s="9"/>
      <c r="AB1167" s="212"/>
      <c r="AC1167" s="9"/>
      <c r="AD1167" s="9"/>
      <c r="AE1167" s="10"/>
      <c r="AF1167" s="10"/>
      <c r="AG1167" s="10"/>
      <c r="AH1167" s="10"/>
      <c r="AI1167" s="10"/>
      <c r="AJ1167" s="10"/>
      <c r="AK1167" s="10"/>
      <c r="AL1167" s="10"/>
      <c r="AM1167" s="10"/>
    </row>
    <row r="1168" spans="1:39" ht="15.75" customHeight="1" x14ac:dyDescent="0.2">
      <c r="A1168" s="9"/>
      <c r="B1168" s="9"/>
      <c r="C1168" s="9"/>
      <c r="D1168" s="9"/>
      <c r="E1168" s="9"/>
      <c r="F1168" s="9"/>
      <c r="G1168" s="9"/>
      <c r="H1168" s="9"/>
      <c r="I1168" s="9"/>
      <c r="J1168" s="9"/>
      <c r="K1168" s="9"/>
      <c r="L1168" s="9"/>
      <c r="M1168" s="9"/>
      <c r="N1168" s="9"/>
      <c r="O1168" s="9"/>
      <c r="P1168" s="212"/>
      <c r="Q1168" s="9"/>
      <c r="R1168" s="9"/>
      <c r="S1168" s="9"/>
      <c r="T1168" s="9"/>
      <c r="U1168" s="9"/>
      <c r="V1168" s="9"/>
      <c r="W1168" s="9"/>
      <c r="X1168" s="9"/>
      <c r="Y1168" s="9"/>
      <c r="Z1168" s="9"/>
      <c r="AA1168" s="9"/>
      <c r="AB1168" s="212"/>
      <c r="AC1168" s="9"/>
      <c r="AD1168" s="9"/>
      <c r="AE1168" s="10"/>
      <c r="AF1168" s="10"/>
      <c r="AG1168" s="10"/>
      <c r="AH1168" s="10"/>
      <c r="AI1168" s="10"/>
      <c r="AJ1168" s="10"/>
      <c r="AK1168" s="10"/>
      <c r="AL1168" s="10"/>
      <c r="AM1168" s="10"/>
    </row>
    <row r="1169" spans="1:39" ht="15.75" customHeight="1" x14ac:dyDescent="0.2">
      <c r="A1169" s="9"/>
      <c r="B1169" s="9"/>
      <c r="C1169" s="9"/>
      <c r="D1169" s="9"/>
      <c r="E1169" s="9"/>
      <c r="F1169" s="9"/>
      <c r="G1169" s="9"/>
      <c r="H1169" s="9"/>
      <c r="I1169" s="9"/>
      <c r="J1169" s="9"/>
      <c r="K1169" s="9"/>
      <c r="L1169" s="9"/>
      <c r="M1169" s="9"/>
      <c r="N1169" s="9"/>
      <c r="O1169" s="9"/>
      <c r="P1169" s="212"/>
      <c r="Q1169" s="9"/>
      <c r="R1169" s="9"/>
      <c r="S1169" s="9"/>
      <c r="T1169" s="9"/>
      <c r="U1169" s="9"/>
      <c r="V1169" s="9"/>
      <c r="W1169" s="9"/>
      <c r="X1169" s="9"/>
      <c r="Y1169" s="9"/>
      <c r="Z1169" s="9"/>
      <c r="AA1169" s="9"/>
      <c r="AB1169" s="212"/>
      <c r="AC1169" s="9"/>
      <c r="AD1169" s="9"/>
      <c r="AE1169" s="10"/>
      <c r="AF1169" s="10"/>
      <c r="AG1169" s="10"/>
      <c r="AH1169" s="10"/>
      <c r="AI1169" s="10"/>
      <c r="AJ1169" s="10"/>
      <c r="AK1169" s="10"/>
      <c r="AL1169" s="10"/>
      <c r="AM1169" s="10"/>
    </row>
    <row r="1170" spans="1:39" ht="15.75" customHeight="1" x14ac:dyDescent="0.2">
      <c r="A1170" s="9"/>
      <c r="B1170" s="9"/>
      <c r="C1170" s="9"/>
      <c r="D1170" s="9"/>
      <c r="E1170" s="9"/>
      <c r="F1170" s="9"/>
      <c r="G1170" s="9"/>
      <c r="H1170" s="9"/>
      <c r="I1170" s="9"/>
      <c r="J1170" s="9"/>
      <c r="K1170" s="9"/>
      <c r="L1170" s="9"/>
      <c r="M1170" s="9"/>
      <c r="N1170" s="9"/>
      <c r="O1170" s="9"/>
      <c r="P1170" s="212"/>
      <c r="Q1170" s="9"/>
      <c r="R1170" s="9"/>
      <c r="S1170" s="9"/>
      <c r="T1170" s="9"/>
      <c r="U1170" s="9"/>
      <c r="V1170" s="9"/>
      <c r="W1170" s="9"/>
      <c r="X1170" s="9"/>
      <c r="Y1170" s="9"/>
      <c r="Z1170" s="9"/>
      <c r="AA1170" s="9"/>
      <c r="AB1170" s="212"/>
      <c r="AC1170" s="9"/>
      <c r="AD1170" s="9"/>
      <c r="AE1170" s="10"/>
      <c r="AF1170" s="10"/>
      <c r="AG1170" s="10"/>
      <c r="AH1170" s="10"/>
      <c r="AI1170" s="10"/>
      <c r="AJ1170" s="10"/>
      <c r="AK1170" s="10"/>
      <c r="AL1170" s="10"/>
      <c r="AM1170" s="10"/>
    </row>
    <row r="1171" spans="1:39" ht="15.75" customHeight="1" x14ac:dyDescent="0.2">
      <c r="A1171" s="9"/>
      <c r="B1171" s="9"/>
      <c r="C1171" s="9"/>
      <c r="D1171" s="9"/>
      <c r="E1171" s="9"/>
      <c r="F1171" s="9"/>
      <c r="G1171" s="9"/>
      <c r="H1171" s="9"/>
      <c r="I1171" s="9"/>
      <c r="J1171" s="9"/>
      <c r="K1171" s="9"/>
      <c r="L1171" s="9"/>
      <c r="M1171" s="9"/>
      <c r="N1171" s="9"/>
      <c r="O1171" s="9"/>
      <c r="P1171" s="212"/>
      <c r="Q1171" s="9"/>
      <c r="R1171" s="9"/>
      <c r="S1171" s="9"/>
      <c r="T1171" s="9"/>
      <c r="U1171" s="9"/>
      <c r="V1171" s="9"/>
      <c r="W1171" s="9"/>
      <c r="X1171" s="9"/>
      <c r="Y1171" s="9"/>
      <c r="Z1171" s="9"/>
      <c r="AA1171" s="9"/>
      <c r="AB1171" s="212"/>
      <c r="AC1171" s="9"/>
      <c r="AD1171" s="9"/>
      <c r="AE1171" s="10"/>
      <c r="AF1171" s="10"/>
      <c r="AG1171" s="10"/>
      <c r="AH1171" s="10"/>
      <c r="AI1171" s="10"/>
      <c r="AJ1171" s="10"/>
      <c r="AK1171" s="10"/>
      <c r="AL1171" s="10"/>
      <c r="AM1171" s="10"/>
    </row>
    <row r="1172" spans="1:39" ht="15.75" customHeight="1" x14ac:dyDescent="0.2">
      <c r="A1172" s="9"/>
      <c r="B1172" s="9"/>
      <c r="C1172" s="9"/>
      <c r="D1172" s="9"/>
      <c r="E1172" s="9"/>
      <c r="F1172" s="9"/>
      <c r="G1172" s="9"/>
      <c r="H1172" s="9"/>
      <c r="I1172" s="9"/>
      <c r="J1172" s="9"/>
      <c r="K1172" s="9"/>
      <c r="L1172" s="9"/>
      <c r="M1172" s="9"/>
      <c r="N1172" s="9"/>
      <c r="O1172" s="9"/>
      <c r="P1172" s="212"/>
      <c r="Q1172" s="9"/>
      <c r="R1172" s="9"/>
      <c r="S1172" s="9"/>
      <c r="T1172" s="9"/>
      <c r="U1172" s="9"/>
      <c r="V1172" s="9"/>
      <c r="W1172" s="9"/>
      <c r="X1172" s="9"/>
      <c r="Y1172" s="9"/>
      <c r="Z1172" s="9"/>
      <c r="AA1172" s="9"/>
      <c r="AB1172" s="212"/>
      <c r="AC1172" s="9"/>
      <c r="AD1172" s="9"/>
      <c r="AE1172" s="10"/>
      <c r="AF1172" s="10"/>
      <c r="AG1172" s="10"/>
      <c r="AH1172" s="10"/>
      <c r="AI1172" s="10"/>
      <c r="AJ1172" s="10"/>
      <c r="AK1172" s="10"/>
      <c r="AL1172" s="10"/>
      <c r="AM1172" s="10"/>
    </row>
    <row r="1173" spans="1:39" ht="15.75" customHeight="1" x14ac:dyDescent="0.2">
      <c r="A1173" s="9"/>
      <c r="B1173" s="9"/>
      <c r="C1173" s="9"/>
      <c r="D1173" s="9"/>
      <c r="E1173" s="9"/>
      <c r="F1173" s="9"/>
      <c r="G1173" s="9"/>
      <c r="H1173" s="9"/>
      <c r="I1173" s="9"/>
      <c r="J1173" s="9"/>
      <c r="K1173" s="9"/>
      <c r="L1173" s="9"/>
      <c r="M1173" s="9"/>
      <c r="N1173" s="9"/>
      <c r="O1173" s="9"/>
      <c r="P1173" s="212"/>
      <c r="Q1173" s="9"/>
      <c r="R1173" s="9"/>
      <c r="S1173" s="9"/>
      <c r="T1173" s="9"/>
      <c r="U1173" s="9"/>
      <c r="V1173" s="9"/>
      <c r="W1173" s="9"/>
      <c r="X1173" s="9"/>
      <c r="Y1173" s="9"/>
      <c r="Z1173" s="9"/>
      <c r="AA1173" s="9"/>
      <c r="AB1173" s="212"/>
      <c r="AC1173" s="9"/>
      <c r="AD1173" s="9"/>
      <c r="AE1173" s="10"/>
      <c r="AF1173" s="10"/>
      <c r="AG1173" s="10"/>
      <c r="AH1173" s="10"/>
      <c r="AI1173" s="10"/>
      <c r="AJ1173" s="10"/>
      <c r="AK1173" s="10"/>
      <c r="AL1173" s="10"/>
      <c r="AM1173" s="10"/>
    </row>
    <row r="1174" spans="1:39" ht="15.75" customHeight="1" x14ac:dyDescent="0.2">
      <c r="A1174" s="9"/>
      <c r="B1174" s="9"/>
      <c r="C1174" s="9"/>
      <c r="D1174" s="9"/>
      <c r="E1174" s="9"/>
      <c r="F1174" s="9"/>
      <c r="G1174" s="9"/>
      <c r="H1174" s="9"/>
      <c r="I1174" s="9"/>
      <c r="J1174" s="9"/>
      <c r="K1174" s="9"/>
      <c r="L1174" s="9"/>
      <c r="M1174" s="9"/>
      <c r="N1174" s="9"/>
      <c r="O1174" s="9"/>
      <c r="P1174" s="212"/>
      <c r="Q1174" s="9"/>
      <c r="R1174" s="9"/>
      <c r="S1174" s="9"/>
      <c r="T1174" s="9"/>
      <c r="U1174" s="9"/>
      <c r="V1174" s="9"/>
      <c r="W1174" s="9"/>
      <c r="X1174" s="9"/>
      <c r="Y1174" s="9"/>
      <c r="Z1174" s="9"/>
      <c r="AA1174" s="9"/>
      <c r="AB1174" s="212"/>
      <c r="AC1174" s="9"/>
      <c r="AD1174" s="9"/>
      <c r="AE1174" s="10"/>
      <c r="AF1174" s="10"/>
      <c r="AG1174" s="10"/>
      <c r="AH1174" s="10"/>
      <c r="AI1174" s="10"/>
      <c r="AJ1174" s="10"/>
      <c r="AK1174" s="10"/>
      <c r="AL1174" s="10"/>
      <c r="AM1174" s="10"/>
    </row>
    <row r="1175" spans="1:39" ht="15.75" customHeight="1" x14ac:dyDescent="0.2">
      <c r="A1175" s="9"/>
      <c r="B1175" s="9"/>
      <c r="C1175" s="9"/>
      <c r="D1175" s="9"/>
      <c r="E1175" s="9"/>
      <c r="F1175" s="9"/>
      <c r="G1175" s="9"/>
      <c r="H1175" s="9"/>
      <c r="I1175" s="9"/>
      <c r="J1175" s="9"/>
      <c r="K1175" s="9"/>
      <c r="L1175" s="9"/>
      <c r="M1175" s="9"/>
      <c r="N1175" s="9"/>
      <c r="O1175" s="9"/>
      <c r="P1175" s="212"/>
      <c r="Q1175" s="9"/>
      <c r="R1175" s="9"/>
      <c r="S1175" s="9"/>
      <c r="T1175" s="9"/>
      <c r="U1175" s="9"/>
      <c r="V1175" s="9"/>
      <c r="W1175" s="9"/>
      <c r="X1175" s="9"/>
      <c r="Y1175" s="9"/>
      <c r="Z1175" s="9"/>
      <c r="AA1175" s="9"/>
      <c r="AB1175" s="212"/>
      <c r="AC1175" s="9"/>
      <c r="AD1175" s="9"/>
      <c r="AE1175" s="10"/>
      <c r="AF1175" s="10"/>
      <c r="AG1175" s="10"/>
      <c r="AH1175" s="10"/>
      <c r="AI1175" s="10"/>
      <c r="AJ1175" s="10"/>
      <c r="AK1175" s="10"/>
      <c r="AL1175" s="10"/>
      <c r="AM1175" s="10"/>
    </row>
    <row r="1176" spans="1:39" ht="15.75" customHeight="1" x14ac:dyDescent="0.2">
      <c r="A1176" s="9"/>
      <c r="B1176" s="9"/>
      <c r="C1176" s="9"/>
      <c r="D1176" s="9"/>
      <c r="E1176" s="9"/>
      <c r="F1176" s="9"/>
      <c r="G1176" s="9"/>
      <c r="H1176" s="9"/>
      <c r="I1176" s="9"/>
      <c r="J1176" s="9"/>
      <c r="K1176" s="9"/>
      <c r="L1176" s="9"/>
      <c r="M1176" s="9"/>
      <c r="N1176" s="9"/>
      <c r="O1176" s="9"/>
      <c r="P1176" s="212"/>
      <c r="Q1176" s="9"/>
      <c r="R1176" s="9"/>
      <c r="S1176" s="9"/>
      <c r="T1176" s="9"/>
      <c r="U1176" s="9"/>
      <c r="V1176" s="9"/>
      <c r="W1176" s="9"/>
      <c r="X1176" s="9"/>
      <c r="Y1176" s="9"/>
      <c r="Z1176" s="9"/>
      <c r="AA1176" s="9"/>
      <c r="AB1176" s="212"/>
      <c r="AC1176" s="9"/>
      <c r="AD1176" s="9"/>
      <c r="AE1176" s="10"/>
      <c r="AF1176" s="10"/>
      <c r="AG1176" s="10"/>
      <c r="AH1176" s="10"/>
      <c r="AI1176" s="10"/>
      <c r="AJ1176" s="10"/>
      <c r="AK1176" s="10"/>
      <c r="AL1176" s="10"/>
      <c r="AM1176" s="10"/>
    </row>
    <row r="1177" spans="1:39" ht="15.75" customHeight="1" x14ac:dyDescent="0.2">
      <c r="A1177" s="9"/>
      <c r="B1177" s="9"/>
      <c r="C1177" s="9"/>
      <c r="D1177" s="9"/>
      <c r="E1177" s="9"/>
      <c r="F1177" s="9"/>
      <c r="G1177" s="9"/>
      <c r="H1177" s="9"/>
      <c r="I1177" s="9"/>
      <c r="J1177" s="9"/>
      <c r="K1177" s="9"/>
      <c r="L1177" s="9"/>
      <c r="M1177" s="9"/>
      <c r="N1177" s="9"/>
      <c r="O1177" s="9"/>
      <c r="P1177" s="212"/>
      <c r="Q1177" s="9"/>
      <c r="R1177" s="9"/>
      <c r="S1177" s="9"/>
      <c r="T1177" s="9"/>
      <c r="U1177" s="9"/>
      <c r="V1177" s="9"/>
      <c r="W1177" s="9"/>
      <c r="X1177" s="9"/>
      <c r="Y1177" s="9"/>
      <c r="Z1177" s="9"/>
      <c r="AA1177" s="9"/>
      <c r="AB1177" s="212"/>
      <c r="AC1177" s="9"/>
      <c r="AD1177" s="9"/>
      <c r="AE1177" s="10"/>
      <c r="AF1177" s="10"/>
      <c r="AG1177" s="10"/>
      <c r="AH1177" s="10"/>
      <c r="AI1177" s="10"/>
      <c r="AJ1177" s="10"/>
      <c r="AK1177" s="10"/>
      <c r="AL1177" s="10"/>
      <c r="AM1177" s="10"/>
    </row>
    <row r="1178" spans="1:39" ht="15.75" customHeight="1" x14ac:dyDescent="0.2">
      <c r="A1178" s="9"/>
      <c r="B1178" s="9"/>
      <c r="C1178" s="9"/>
      <c r="D1178" s="9"/>
      <c r="E1178" s="9"/>
      <c r="F1178" s="9"/>
      <c r="G1178" s="9"/>
      <c r="H1178" s="9"/>
      <c r="I1178" s="9"/>
      <c r="J1178" s="9"/>
      <c r="K1178" s="9"/>
      <c r="L1178" s="9"/>
      <c r="M1178" s="9"/>
      <c r="N1178" s="9"/>
      <c r="O1178" s="9"/>
      <c r="P1178" s="212"/>
      <c r="Q1178" s="9"/>
      <c r="R1178" s="9"/>
      <c r="S1178" s="9"/>
      <c r="T1178" s="9"/>
      <c r="U1178" s="9"/>
      <c r="V1178" s="9"/>
      <c r="W1178" s="9"/>
      <c r="X1178" s="9"/>
      <c r="Y1178" s="9"/>
      <c r="Z1178" s="9"/>
      <c r="AA1178" s="9"/>
      <c r="AB1178" s="212"/>
      <c r="AC1178" s="9"/>
      <c r="AD1178" s="9"/>
      <c r="AE1178" s="10"/>
      <c r="AF1178" s="10"/>
      <c r="AG1178" s="10"/>
      <c r="AH1178" s="10"/>
      <c r="AI1178" s="10"/>
      <c r="AJ1178" s="10"/>
      <c r="AK1178" s="10"/>
      <c r="AL1178" s="10"/>
      <c r="AM1178" s="10"/>
    </row>
    <row r="1179" spans="1:39" ht="15.75" customHeight="1" x14ac:dyDescent="0.2">
      <c r="A1179" s="9"/>
      <c r="B1179" s="9"/>
      <c r="C1179" s="9"/>
      <c r="D1179" s="9"/>
      <c r="E1179" s="9"/>
      <c r="F1179" s="9"/>
      <c r="G1179" s="9"/>
      <c r="H1179" s="9"/>
      <c r="I1179" s="9"/>
      <c r="J1179" s="9"/>
      <c r="K1179" s="9"/>
      <c r="L1179" s="9"/>
      <c r="M1179" s="9"/>
      <c r="N1179" s="9"/>
      <c r="O1179" s="9"/>
      <c r="P1179" s="212"/>
      <c r="Q1179" s="9"/>
      <c r="R1179" s="9"/>
      <c r="S1179" s="9"/>
      <c r="T1179" s="9"/>
      <c r="U1179" s="9"/>
      <c r="V1179" s="9"/>
      <c r="W1179" s="9"/>
      <c r="X1179" s="9"/>
      <c r="Y1179" s="9"/>
      <c r="Z1179" s="9"/>
      <c r="AA1179" s="9"/>
      <c r="AB1179" s="212"/>
      <c r="AC1179" s="9"/>
      <c r="AD1179" s="9"/>
      <c r="AE1179" s="10"/>
      <c r="AF1179" s="10"/>
      <c r="AG1179" s="10"/>
      <c r="AH1179" s="10"/>
      <c r="AI1179" s="10"/>
      <c r="AJ1179" s="10"/>
      <c r="AK1179" s="10"/>
      <c r="AL1179" s="10"/>
      <c r="AM1179" s="10"/>
    </row>
    <row r="1180" spans="1:39" ht="15.75" customHeight="1" x14ac:dyDescent="0.2">
      <c r="A1180" s="9"/>
      <c r="B1180" s="9"/>
      <c r="C1180" s="9"/>
      <c r="D1180" s="9"/>
      <c r="E1180" s="9"/>
      <c r="F1180" s="9"/>
      <c r="G1180" s="9"/>
      <c r="H1180" s="9"/>
      <c r="I1180" s="9"/>
      <c r="J1180" s="9"/>
      <c r="K1180" s="9"/>
      <c r="L1180" s="9"/>
      <c r="M1180" s="9"/>
      <c r="N1180" s="9"/>
      <c r="O1180" s="9"/>
      <c r="P1180" s="212"/>
      <c r="Q1180" s="9"/>
      <c r="R1180" s="9"/>
      <c r="S1180" s="9"/>
      <c r="T1180" s="9"/>
      <c r="U1180" s="9"/>
      <c r="V1180" s="9"/>
      <c r="W1180" s="9"/>
      <c r="X1180" s="9"/>
      <c r="Y1180" s="9"/>
      <c r="Z1180" s="9"/>
      <c r="AA1180" s="9"/>
      <c r="AB1180" s="212"/>
      <c r="AC1180" s="9"/>
      <c r="AD1180" s="9"/>
      <c r="AE1180" s="10"/>
      <c r="AF1180" s="10"/>
      <c r="AG1180" s="10"/>
      <c r="AH1180" s="10"/>
      <c r="AI1180" s="10"/>
      <c r="AJ1180" s="10"/>
      <c r="AK1180" s="10"/>
      <c r="AL1180" s="10"/>
      <c r="AM1180" s="10"/>
    </row>
    <row r="1181" spans="1:39" ht="15.75" customHeight="1" x14ac:dyDescent="0.2">
      <c r="A1181" s="9"/>
      <c r="B1181" s="9"/>
      <c r="C1181" s="9"/>
      <c r="D1181" s="9"/>
      <c r="E1181" s="9"/>
      <c r="F1181" s="9"/>
      <c r="G1181" s="9"/>
      <c r="H1181" s="9"/>
      <c r="I1181" s="9"/>
      <c r="J1181" s="9"/>
      <c r="K1181" s="9"/>
      <c r="L1181" s="9"/>
      <c r="M1181" s="9"/>
      <c r="N1181" s="9"/>
      <c r="O1181" s="9"/>
      <c r="P1181" s="212"/>
      <c r="Q1181" s="9"/>
      <c r="R1181" s="9"/>
      <c r="S1181" s="9"/>
      <c r="T1181" s="9"/>
      <c r="U1181" s="9"/>
      <c r="V1181" s="9"/>
      <c r="W1181" s="9"/>
      <c r="X1181" s="9"/>
      <c r="Y1181" s="9"/>
      <c r="Z1181" s="9"/>
      <c r="AA1181" s="9"/>
      <c r="AB1181" s="212"/>
      <c r="AC1181" s="9"/>
      <c r="AD1181" s="9"/>
      <c r="AE1181" s="10"/>
      <c r="AF1181" s="10"/>
      <c r="AG1181" s="10"/>
      <c r="AH1181" s="10"/>
      <c r="AI1181" s="10"/>
      <c r="AJ1181" s="10"/>
      <c r="AK1181" s="10"/>
      <c r="AL1181" s="10"/>
      <c r="AM1181" s="10"/>
    </row>
    <row r="1182" spans="1:39" ht="15.75" customHeight="1" x14ac:dyDescent="0.2">
      <c r="A1182" s="9"/>
      <c r="B1182" s="9"/>
      <c r="C1182" s="9"/>
      <c r="D1182" s="9"/>
      <c r="E1182" s="9"/>
      <c r="F1182" s="9"/>
      <c r="G1182" s="9"/>
      <c r="H1182" s="9"/>
      <c r="I1182" s="9"/>
      <c r="J1182" s="9"/>
      <c r="K1182" s="9"/>
      <c r="L1182" s="9"/>
      <c r="M1182" s="9"/>
      <c r="N1182" s="9"/>
      <c r="O1182" s="9"/>
      <c r="P1182" s="212"/>
      <c r="Q1182" s="9"/>
      <c r="R1182" s="9"/>
      <c r="S1182" s="9"/>
      <c r="T1182" s="9"/>
      <c r="U1182" s="9"/>
      <c r="V1182" s="9"/>
      <c r="W1182" s="9"/>
      <c r="X1182" s="9"/>
      <c r="Y1182" s="9"/>
      <c r="Z1182" s="9"/>
      <c r="AA1182" s="9"/>
      <c r="AB1182" s="212"/>
      <c r="AC1182" s="9"/>
      <c r="AD1182" s="9"/>
      <c r="AE1182" s="10"/>
      <c r="AF1182" s="10"/>
      <c r="AG1182" s="10"/>
      <c r="AH1182" s="10"/>
      <c r="AI1182" s="10"/>
      <c r="AJ1182" s="10"/>
      <c r="AK1182" s="10"/>
      <c r="AL1182" s="10"/>
      <c r="AM1182" s="10"/>
    </row>
    <row r="1183" spans="1:39" ht="15.75" customHeight="1" x14ac:dyDescent="0.2">
      <c r="A1183" s="9"/>
      <c r="B1183" s="9"/>
      <c r="C1183" s="9"/>
      <c r="D1183" s="9"/>
      <c r="E1183" s="9"/>
      <c r="F1183" s="9"/>
      <c r="G1183" s="9"/>
      <c r="H1183" s="9"/>
      <c r="I1183" s="9"/>
      <c r="J1183" s="9"/>
      <c r="K1183" s="9"/>
      <c r="L1183" s="9"/>
      <c r="M1183" s="9"/>
      <c r="N1183" s="9"/>
      <c r="O1183" s="9"/>
      <c r="P1183" s="212"/>
      <c r="Q1183" s="9"/>
      <c r="R1183" s="9"/>
      <c r="S1183" s="9"/>
      <c r="T1183" s="9"/>
      <c r="U1183" s="9"/>
      <c r="V1183" s="9"/>
      <c r="W1183" s="9"/>
      <c r="X1183" s="9"/>
      <c r="Y1183" s="9"/>
      <c r="Z1183" s="9"/>
      <c r="AA1183" s="9"/>
      <c r="AB1183" s="212"/>
      <c r="AC1183" s="9"/>
      <c r="AD1183" s="9"/>
      <c r="AE1183" s="10"/>
      <c r="AF1183" s="10"/>
      <c r="AG1183" s="10"/>
      <c r="AH1183" s="10"/>
      <c r="AI1183" s="10"/>
      <c r="AJ1183" s="10"/>
      <c r="AK1183" s="10"/>
      <c r="AL1183" s="10"/>
      <c r="AM1183" s="10"/>
    </row>
    <row r="1184" spans="1:39" ht="15.75" customHeight="1" x14ac:dyDescent="0.2">
      <c r="A1184" s="9"/>
      <c r="B1184" s="9"/>
      <c r="C1184" s="9"/>
      <c r="D1184" s="9"/>
      <c r="E1184" s="9"/>
      <c r="F1184" s="9"/>
      <c r="G1184" s="9"/>
      <c r="H1184" s="9"/>
      <c r="I1184" s="9"/>
      <c r="J1184" s="9"/>
      <c r="K1184" s="9"/>
      <c r="L1184" s="9"/>
      <c r="M1184" s="9"/>
      <c r="N1184" s="9"/>
      <c r="O1184" s="9"/>
      <c r="P1184" s="212"/>
      <c r="Q1184" s="9"/>
      <c r="R1184" s="9"/>
      <c r="S1184" s="9"/>
      <c r="T1184" s="9"/>
      <c r="U1184" s="9"/>
      <c r="V1184" s="9"/>
      <c r="W1184" s="9"/>
      <c r="X1184" s="9"/>
      <c r="Y1184" s="9"/>
      <c r="Z1184" s="9"/>
      <c r="AA1184" s="9"/>
      <c r="AB1184" s="212"/>
      <c r="AC1184" s="9"/>
      <c r="AD1184" s="9"/>
      <c r="AE1184" s="10"/>
      <c r="AF1184" s="10"/>
      <c r="AG1184" s="10"/>
      <c r="AH1184" s="10"/>
      <c r="AI1184" s="10"/>
      <c r="AJ1184" s="10"/>
      <c r="AK1184" s="10"/>
      <c r="AL1184" s="10"/>
      <c r="AM1184" s="10"/>
    </row>
    <row r="1185" spans="1:39" ht="15.75" customHeight="1" x14ac:dyDescent="0.2">
      <c r="A1185" s="9"/>
      <c r="B1185" s="9"/>
      <c r="C1185" s="9"/>
      <c r="D1185" s="9"/>
      <c r="E1185" s="9"/>
      <c r="F1185" s="9"/>
      <c r="G1185" s="9"/>
      <c r="H1185" s="9"/>
      <c r="I1185" s="9"/>
      <c r="J1185" s="9"/>
      <c r="K1185" s="9"/>
      <c r="L1185" s="9"/>
      <c r="M1185" s="9"/>
      <c r="N1185" s="9"/>
      <c r="O1185" s="9"/>
      <c r="P1185" s="212"/>
      <c r="Q1185" s="9"/>
      <c r="R1185" s="9"/>
      <c r="S1185" s="9"/>
      <c r="T1185" s="9"/>
      <c r="U1185" s="9"/>
      <c r="V1185" s="9"/>
      <c r="W1185" s="9"/>
      <c r="X1185" s="9"/>
      <c r="Y1185" s="9"/>
      <c r="Z1185" s="9"/>
      <c r="AA1185" s="9"/>
      <c r="AB1185" s="212"/>
      <c r="AC1185" s="9"/>
      <c r="AD1185" s="9"/>
      <c r="AE1185" s="10"/>
      <c r="AF1185" s="10"/>
      <c r="AG1185" s="10"/>
      <c r="AH1185" s="10"/>
      <c r="AI1185" s="10"/>
      <c r="AJ1185" s="10"/>
      <c r="AK1185" s="10"/>
      <c r="AL1185" s="10"/>
      <c r="AM1185" s="10"/>
    </row>
    <row r="1186" spans="1:39" ht="15.75" customHeight="1" x14ac:dyDescent="0.2">
      <c r="A1186" s="9"/>
      <c r="B1186" s="9"/>
      <c r="C1186" s="9"/>
      <c r="D1186" s="9"/>
      <c r="E1186" s="9"/>
      <c r="F1186" s="9"/>
      <c r="G1186" s="9"/>
      <c r="H1186" s="9"/>
      <c r="I1186" s="9"/>
      <c r="J1186" s="9"/>
      <c r="K1186" s="9"/>
      <c r="L1186" s="9"/>
      <c r="M1186" s="9"/>
      <c r="N1186" s="9"/>
      <c r="O1186" s="9"/>
      <c r="P1186" s="212"/>
      <c r="Q1186" s="9"/>
      <c r="R1186" s="9"/>
      <c r="S1186" s="9"/>
      <c r="T1186" s="9"/>
      <c r="U1186" s="9"/>
      <c r="V1186" s="9"/>
      <c r="W1186" s="9"/>
      <c r="X1186" s="9"/>
      <c r="Y1186" s="9"/>
      <c r="Z1186" s="9"/>
      <c r="AA1186" s="9"/>
      <c r="AB1186" s="212"/>
      <c r="AC1186" s="9"/>
      <c r="AD1186" s="9"/>
      <c r="AE1186" s="10"/>
      <c r="AF1186" s="10"/>
      <c r="AG1186" s="10"/>
      <c r="AH1186" s="10"/>
      <c r="AI1186" s="10"/>
      <c r="AJ1186" s="10"/>
      <c r="AK1186" s="10"/>
      <c r="AL1186" s="10"/>
      <c r="AM1186" s="10"/>
    </row>
    <row r="1187" spans="1:39" ht="15.75" customHeight="1" x14ac:dyDescent="0.2">
      <c r="A1187" s="9"/>
      <c r="B1187" s="9"/>
      <c r="C1187" s="9"/>
      <c r="D1187" s="9"/>
      <c r="E1187" s="9"/>
      <c r="F1187" s="9"/>
      <c r="G1187" s="9"/>
      <c r="H1187" s="9"/>
      <c r="I1187" s="9"/>
      <c r="J1187" s="9"/>
      <c r="K1187" s="9"/>
      <c r="L1187" s="9"/>
      <c r="M1187" s="9"/>
      <c r="N1187" s="9"/>
      <c r="O1187" s="9"/>
      <c r="P1187" s="212"/>
      <c r="Q1187" s="9"/>
      <c r="R1187" s="9"/>
      <c r="S1187" s="9"/>
      <c r="T1187" s="9"/>
      <c r="U1187" s="9"/>
      <c r="V1187" s="9"/>
      <c r="W1187" s="9"/>
      <c r="X1187" s="9"/>
      <c r="Y1187" s="9"/>
      <c r="Z1187" s="9"/>
      <c r="AA1187" s="9"/>
      <c r="AB1187" s="212"/>
      <c r="AC1187" s="9"/>
      <c r="AD1187" s="9"/>
      <c r="AE1187" s="10"/>
      <c r="AF1187" s="10"/>
      <c r="AG1187" s="10"/>
      <c r="AH1187" s="10"/>
      <c r="AI1187" s="10"/>
      <c r="AJ1187" s="10"/>
      <c r="AK1187" s="10"/>
      <c r="AL1187" s="10"/>
      <c r="AM1187" s="10"/>
    </row>
    <row r="1188" spans="1:39" ht="15.75" customHeight="1" x14ac:dyDescent="0.2">
      <c r="A1188" s="9"/>
      <c r="B1188" s="9"/>
      <c r="C1188" s="9"/>
      <c r="D1188" s="9"/>
      <c r="E1188" s="9"/>
      <c r="F1188" s="9"/>
      <c r="G1188" s="9"/>
      <c r="H1188" s="9"/>
      <c r="I1188" s="9"/>
      <c r="J1188" s="9"/>
      <c r="K1188" s="9"/>
      <c r="L1188" s="9"/>
      <c r="M1188" s="9"/>
      <c r="N1188" s="9"/>
      <c r="O1188" s="9"/>
      <c r="P1188" s="212"/>
      <c r="Q1188" s="9"/>
      <c r="R1188" s="9"/>
      <c r="S1188" s="9"/>
      <c r="T1188" s="9"/>
      <c r="U1188" s="9"/>
      <c r="V1188" s="9"/>
      <c r="W1188" s="9"/>
      <c r="X1188" s="9"/>
      <c r="Y1188" s="9"/>
      <c r="Z1188" s="9"/>
      <c r="AA1188" s="9"/>
      <c r="AB1188" s="212"/>
      <c r="AC1188" s="9"/>
      <c r="AD1188" s="9"/>
      <c r="AE1188" s="10"/>
      <c r="AF1188" s="10"/>
      <c r="AG1188" s="10"/>
      <c r="AH1188" s="10"/>
      <c r="AI1188" s="10"/>
      <c r="AJ1188" s="10"/>
      <c r="AK1188" s="10"/>
      <c r="AL1188" s="10"/>
      <c r="AM1188" s="10"/>
    </row>
    <row r="1189" spans="1:39" ht="15.75" customHeight="1" x14ac:dyDescent="0.2">
      <c r="A1189" s="9"/>
      <c r="B1189" s="9"/>
      <c r="C1189" s="9"/>
      <c r="D1189" s="9"/>
      <c r="E1189" s="9"/>
      <c r="F1189" s="9"/>
      <c r="G1189" s="9"/>
      <c r="H1189" s="9"/>
      <c r="I1189" s="9"/>
      <c r="J1189" s="9"/>
      <c r="K1189" s="9"/>
      <c r="L1189" s="9"/>
      <c r="M1189" s="9"/>
      <c r="N1189" s="9"/>
      <c r="O1189" s="9"/>
      <c r="P1189" s="212"/>
      <c r="Q1189" s="9"/>
      <c r="R1189" s="9"/>
      <c r="S1189" s="9"/>
      <c r="T1189" s="9"/>
      <c r="U1189" s="9"/>
      <c r="V1189" s="9"/>
      <c r="W1189" s="9"/>
      <c r="X1189" s="9"/>
      <c r="Y1189" s="9"/>
      <c r="Z1189" s="9"/>
      <c r="AA1189" s="9"/>
      <c r="AB1189" s="212"/>
      <c r="AC1189" s="9"/>
      <c r="AD1189" s="9"/>
      <c r="AE1189" s="10"/>
      <c r="AF1189" s="10"/>
      <c r="AG1189" s="10"/>
      <c r="AH1189" s="10"/>
      <c r="AI1189" s="10"/>
      <c r="AJ1189" s="10"/>
      <c r="AK1189" s="10"/>
      <c r="AL1189" s="10"/>
      <c r="AM1189" s="10"/>
    </row>
    <row r="1190" spans="1:39" ht="15.75" customHeight="1" x14ac:dyDescent="0.2">
      <c r="A1190" s="9"/>
      <c r="B1190" s="9"/>
      <c r="C1190" s="9"/>
      <c r="D1190" s="9"/>
      <c r="E1190" s="9"/>
      <c r="F1190" s="9"/>
      <c r="G1190" s="9"/>
      <c r="H1190" s="9"/>
      <c r="I1190" s="9"/>
      <c r="J1190" s="9"/>
      <c r="K1190" s="9"/>
      <c r="L1190" s="9"/>
      <c r="M1190" s="9"/>
      <c r="N1190" s="9"/>
      <c r="O1190" s="9"/>
      <c r="P1190" s="212"/>
      <c r="Q1190" s="9"/>
      <c r="R1190" s="9"/>
      <c r="S1190" s="9"/>
      <c r="T1190" s="9"/>
      <c r="U1190" s="9"/>
      <c r="V1190" s="9"/>
      <c r="W1190" s="9"/>
      <c r="X1190" s="9"/>
      <c r="Y1190" s="9"/>
      <c r="Z1190" s="9"/>
      <c r="AA1190" s="9"/>
      <c r="AB1190" s="212"/>
      <c r="AC1190" s="9"/>
      <c r="AD1190" s="9"/>
      <c r="AE1190" s="10"/>
      <c r="AF1190" s="10"/>
      <c r="AG1190" s="10"/>
      <c r="AH1190" s="10"/>
      <c r="AI1190" s="10"/>
      <c r="AJ1190" s="10"/>
      <c r="AK1190" s="10"/>
      <c r="AL1190" s="10"/>
      <c r="AM1190" s="10"/>
    </row>
    <row r="1191" spans="1:39" ht="15.75" customHeight="1" x14ac:dyDescent="0.2">
      <c r="A1191" s="9"/>
      <c r="B1191" s="9"/>
      <c r="C1191" s="9"/>
      <c r="D1191" s="9"/>
      <c r="E1191" s="9"/>
      <c r="F1191" s="9"/>
      <c r="G1191" s="9"/>
      <c r="H1191" s="9"/>
      <c r="I1191" s="9"/>
      <c r="J1191" s="9"/>
      <c r="K1191" s="9"/>
      <c r="L1191" s="9"/>
      <c r="M1191" s="9"/>
      <c r="N1191" s="9"/>
      <c r="O1191" s="9"/>
      <c r="P1191" s="212"/>
      <c r="Q1191" s="9"/>
      <c r="R1191" s="9"/>
      <c r="S1191" s="9"/>
      <c r="T1191" s="9"/>
      <c r="U1191" s="9"/>
      <c r="V1191" s="9"/>
      <c r="W1191" s="9"/>
      <c r="X1191" s="9"/>
      <c r="Y1191" s="9"/>
      <c r="Z1191" s="9"/>
      <c r="AA1191" s="9"/>
      <c r="AB1191" s="212"/>
      <c r="AC1191" s="9"/>
      <c r="AD1191" s="9"/>
      <c r="AE1191" s="10"/>
      <c r="AF1191" s="10"/>
      <c r="AG1191" s="10"/>
      <c r="AH1191" s="10"/>
      <c r="AI1191" s="10"/>
      <c r="AJ1191" s="10"/>
      <c r="AK1191" s="10"/>
      <c r="AL1191" s="10"/>
      <c r="AM1191" s="10"/>
    </row>
    <row r="1192" spans="1:39" ht="15.75" customHeight="1" x14ac:dyDescent="0.2">
      <c r="A1192" s="9"/>
      <c r="B1192" s="9"/>
      <c r="C1192" s="9"/>
      <c r="D1192" s="9"/>
      <c r="E1192" s="9"/>
      <c r="F1192" s="9"/>
      <c r="G1192" s="9"/>
      <c r="H1192" s="9"/>
      <c r="I1192" s="9"/>
      <c r="J1192" s="9"/>
      <c r="K1192" s="9"/>
      <c r="L1192" s="9"/>
      <c r="M1192" s="9"/>
      <c r="N1192" s="9"/>
      <c r="O1192" s="9"/>
      <c r="P1192" s="212"/>
      <c r="Q1192" s="9"/>
      <c r="R1192" s="9"/>
      <c r="S1192" s="9"/>
      <c r="T1192" s="9"/>
      <c r="U1192" s="9"/>
      <c r="V1192" s="9"/>
      <c r="W1192" s="9"/>
      <c r="X1192" s="9"/>
      <c r="Y1192" s="9"/>
      <c r="Z1192" s="9"/>
      <c r="AA1192" s="9"/>
      <c r="AB1192" s="212"/>
      <c r="AC1192" s="9"/>
      <c r="AD1192" s="9"/>
      <c r="AE1192" s="10"/>
      <c r="AF1192" s="10"/>
      <c r="AG1192" s="10"/>
      <c r="AH1192" s="10"/>
      <c r="AI1192" s="10"/>
      <c r="AJ1192" s="10"/>
      <c r="AK1192" s="10"/>
      <c r="AL1192" s="10"/>
      <c r="AM1192" s="10"/>
    </row>
    <row r="1193" spans="1:39" ht="15.75" customHeight="1" x14ac:dyDescent="0.2">
      <c r="A1193" s="9"/>
      <c r="B1193" s="9"/>
      <c r="C1193" s="9"/>
      <c r="D1193" s="9"/>
      <c r="E1193" s="9"/>
      <c r="F1193" s="9"/>
      <c r="G1193" s="9"/>
      <c r="H1193" s="9"/>
      <c r="I1193" s="9"/>
      <c r="J1193" s="9"/>
      <c r="K1193" s="9"/>
      <c r="L1193" s="9"/>
      <c r="M1193" s="9"/>
      <c r="N1193" s="9"/>
      <c r="O1193" s="9"/>
      <c r="P1193" s="212"/>
      <c r="Q1193" s="9"/>
      <c r="R1193" s="9"/>
      <c r="S1193" s="9"/>
      <c r="T1193" s="9"/>
      <c r="U1193" s="9"/>
      <c r="V1193" s="9"/>
      <c r="W1193" s="9"/>
      <c r="X1193" s="9"/>
      <c r="Y1193" s="9"/>
      <c r="Z1193" s="9"/>
      <c r="AA1193" s="9"/>
      <c r="AB1193" s="212"/>
      <c r="AC1193" s="9"/>
      <c r="AD1193" s="9"/>
      <c r="AE1193" s="10"/>
      <c r="AF1193" s="10"/>
      <c r="AG1193" s="10"/>
      <c r="AH1193" s="10"/>
      <c r="AI1193" s="10"/>
      <c r="AJ1193" s="10"/>
      <c r="AK1193" s="10"/>
      <c r="AL1193" s="10"/>
      <c r="AM1193" s="10"/>
    </row>
    <row r="1194" spans="1:39" ht="15.75" customHeight="1" x14ac:dyDescent="0.2">
      <c r="A1194" s="9"/>
      <c r="B1194" s="9"/>
      <c r="C1194" s="9"/>
      <c r="D1194" s="9"/>
      <c r="E1194" s="9"/>
      <c r="F1194" s="9"/>
      <c r="G1194" s="9"/>
      <c r="H1194" s="9"/>
      <c r="I1194" s="9"/>
      <c r="J1194" s="9"/>
      <c r="K1194" s="9"/>
      <c r="L1194" s="9"/>
      <c r="M1194" s="9"/>
      <c r="N1194" s="9"/>
      <c r="O1194" s="9"/>
      <c r="P1194" s="212"/>
      <c r="Q1194" s="9"/>
      <c r="R1194" s="9"/>
      <c r="S1194" s="9"/>
      <c r="T1194" s="9"/>
      <c r="U1194" s="9"/>
      <c r="V1194" s="9"/>
      <c r="W1194" s="9"/>
      <c r="X1194" s="9"/>
      <c r="Y1194" s="9"/>
      <c r="Z1194" s="9"/>
      <c r="AA1194" s="9"/>
      <c r="AB1194" s="212"/>
      <c r="AC1194" s="9"/>
      <c r="AD1194" s="9"/>
      <c r="AE1194" s="10"/>
      <c r="AF1194" s="10"/>
      <c r="AG1194" s="10"/>
      <c r="AH1194" s="10"/>
      <c r="AI1194" s="10"/>
      <c r="AJ1194" s="10"/>
      <c r="AK1194" s="10"/>
      <c r="AL1194" s="10"/>
      <c r="AM1194" s="10"/>
    </row>
    <row r="1195" spans="1:39" ht="15.75" customHeight="1" x14ac:dyDescent="0.2">
      <c r="A1195" s="9"/>
      <c r="B1195" s="9"/>
      <c r="C1195" s="9"/>
      <c r="D1195" s="9"/>
      <c r="E1195" s="9"/>
      <c r="F1195" s="9"/>
      <c r="G1195" s="9"/>
      <c r="H1195" s="9"/>
      <c r="I1195" s="9"/>
      <c r="J1195" s="9"/>
      <c r="K1195" s="9"/>
      <c r="L1195" s="9"/>
      <c r="M1195" s="9"/>
      <c r="N1195" s="9"/>
      <c r="O1195" s="9"/>
      <c r="P1195" s="212"/>
      <c r="Q1195" s="9"/>
      <c r="R1195" s="9"/>
      <c r="S1195" s="9"/>
      <c r="T1195" s="9"/>
      <c r="U1195" s="9"/>
      <c r="V1195" s="9"/>
      <c r="W1195" s="9"/>
      <c r="X1195" s="9"/>
      <c r="Y1195" s="9"/>
      <c r="Z1195" s="9"/>
      <c r="AA1195" s="9"/>
      <c r="AB1195" s="212"/>
      <c r="AC1195" s="9"/>
      <c r="AD1195" s="9"/>
      <c r="AE1195" s="10"/>
      <c r="AF1195" s="10"/>
      <c r="AG1195" s="10"/>
      <c r="AH1195" s="10"/>
      <c r="AI1195" s="10"/>
      <c r="AJ1195" s="10"/>
      <c r="AK1195" s="10"/>
      <c r="AL1195" s="10"/>
      <c r="AM1195" s="10"/>
    </row>
    <row r="1196" spans="1:39" ht="15.75" customHeight="1" x14ac:dyDescent="0.2">
      <c r="A1196" s="9"/>
      <c r="B1196" s="9"/>
      <c r="C1196" s="9"/>
      <c r="D1196" s="9"/>
      <c r="E1196" s="9"/>
      <c r="F1196" s="9"/>
      <c r="G1196" s="9"/>
      <c r="H1196" s="9"/>
      <c r="I1196" s="9"/>
      <c r="J1196" s="9"/>
      <c r="K1196" s="9"/>
      <c r="L1196" s="9"/>
      <c r="M1196" s="9"/>
      <c r="N1196" s="9"/>
      <c r="O1196" s="9"/>
      <c r="P1196" s="212"/>
      <c r="Q1196" s="9"/>
      <c r="R1196" s="9"/>
      <c r="S1196" s="9"/>
      <c r="T1196" s="9"/>
      <c r="U1196" s="9"/>
      <c r="V1196" s="9"/>
      <c r="W1196" s="9"/>
      <c r="X1196" s="9"/>
      <c r="Y1196" s="9"/>
      <c r="Z1196" s="9"/>
      <c r="AA1196" s="9"/>
      <c r="AB1196" s="212"/>
      <c r="AC1196" s="9"/>
      <c r="AD1196" s="9"/>
      <c r="AE1196" s="10"/>
      <c r="AF1196" s="10"/>
      <c r="AG1196" s="10"/>
      <c r="AH1196" s="10"/>
      <c r="AI1196" s="10"/>
      <c r="AJ1196" s="10"/>
      <c r="AK1196" s="10"/>
      <c r="AL1196" s="10"/>
      <c r="AM1196" s="10"/>
    </row>
    <row r="1197" spans="1:39" ht="15.75" customHeight="1" x14ac:dyDescent="0.2">
      <c r="A1197" s="9"/>
      <c r="B1197" s="9"/>
      <c r="C1197" s="9"/>
      <c r="D1197" s="9"/>
      <c r="E1197" s="9"/>
      <c r="F1197" s="9"/>
      <c r="G1197" s="9"/>
      <c r="H1197" s="9"/>
      <c r="I1197" s="9"/>
      <c r="J1197" s="9"/>
      <c r="K1197" s="9"/>
      <c r="L1197" s="9"/>
      <c r="M1197" s="9"/>
      <c r="N1197" s="9"/>
      <c r="O1197" s="9"/>
      <c r="P1197" s="212"/>
      <c r="Q1197" s="9"/>
      <c r="R1197" s="9"/>
      <c r="S1197" s="9"/>
      <c r="T1197" s="9"/>
      <c r="U1197" s="9"/>
      <c r="V1197" s="9"/>
      <c r="W1197" s="9"/>
      <c r="X1197" s="9"/>
      <c r="Y1197" s="9"/>
      <c r="Z1197" s="9"/>
      <c r="AA1197" s="9"/>
      <c r="AB1197" s="212"/>
      <c r="AC1197" s="9"/>
      <c r="AD1197" s="9"/>
      <c r="AE1197" s="10"/>
      <c r="AF1197" s="10"/>
      <c r="AG1197" s="10"/>
      <c r="AH1197" s="10"/>
      <c r="AI1197" s="10"/>
      <c r="AJ1197" s="10"/>
      <c r="AK1197" s="10"/>
      <c r="AL1197" s="10"/>
      <c r="AM1197" s="10"/>
    </row>
    <row r="1198" spans="1:39" ht="15.75" customHeight="1" x14ac:dyDescent="0.2">
      <c r="A1198" s="9"/>
      <c r="B1198" s="9"/>
      <c r="C1198" s="9"/>
      <c r="D1198" s="9"/>
      <c r="E1198" s="9"/>
      <c r="F1198" s="9"/>
      <c r="G1198" s="9"/>
      <c r="H1198" s="9"/>
      <c r="I1198" s="9"/>
      <c r="J1198" s="9"/>
      <c r="K1198" s="9"/>
      <c r="L1198" s="9"/>
      <c r="M1198" s="9"/>
      <c r="N1198" s="9"/>
      <c r="O1198" s="9"/>
      <c r="P1198" s="212"/>
      <c r="Q1198" s="9"/>
      <c r="R1198" s="9"/>
      <c r="S1198" s="9"/>
      <c r="T1198" s="9"/>
      <c r="U1198" s="9"/>
      <c r="V1198" s="9"/>
      <c r="W1198" s="9"/>
      <c r="X1198" s="9"/>
      <c r="Y1198" s="9"/>
      <c r="Z1198" s="9"/>
      <c r="AA1198" s="9"/>
      <c r="AB1198" s="212"/>
      <c r="AC1198" s="9"/>
      <c r="AD1198" s="9"/>
      <c r="AE1198" s="10"/>
      <c r="AF1198" s="10"/>
      <c r="AG1198" s="10"/>
      <c r="AH1198" s="10"/>
      <c r="AI1198" s="10"/>
      <c r="AJ1198" s="10"/>
      <c r="AK1198" s="10"/>
      <c r="AL1198" s="10"/>
      <c r="AM1198" s="10"/>
    </row>
    <row r="1199" spans="1:39" ht="15.75" customHeight="1" x14ac:dyDescent="0.2">
      <c r="A1199" s="9"/>
      <c r="B1199" s="9"/>
      <c r="C1199" s="9"/>
      <c r="D1199" s="9"/>
      <c r="E1199" s="9"/>
      <c r="F1199" s="9"/>
      <c r="G1199" s="9"/>
      <c r="H1199" s="9"/>
      <c r="I1199" s="9"/>
      <c r="J1199" s="9"/>
      <c r="K1199" s="9"/>
      <c r="L1199" s="9"/>
      <c r="M1199" s="9"/>
      <c r="N1199" s="9"/>
      <c r="O1199" s="9"/>
      <c r="P1199" s="212"/>
      <c r="Q1199" s="9"/>
      <c r="R1199" s="9"/>
      <c r="S1199" s="9"/>
      <c r="T1199" s="9"/>
      <c r="U1199" s="9"/>
      <c r="V1199" s="9"/>
      <c r="W1199" s="9"/>
      <c r="X1199" s="9"/>
      <c r="Y1199" s="9"/>
      <c r="Z1199" s="9"/>
      <c r="AA1199" s="9"/>
      <c r="AB1199" s="212"/>
      <c r="AC1199" s="9"/>
      <c r="AD1199" s="9"/>
      <c r="AE1199" s="10"/>
      <c r="AF1199" s="10"/>
      <c r="AG1199" s="10"/>
      <c r="AH1199" s="10"/>
      <c r="AI1199" s="10"/>
      <c r="AJ1199" s="10"/>
      <c r="AK1199" s="10"/>
      <c r="AL1199" s="10"/>
      <c r="AM1199" s="10"/>
    </row>
    <row r="1200" spans="1:39" ht="15.75" customHeight="1" x14ac:dyDescent="0.2">
      <c r="A1200" s="9"/>
      <c r="B1200" s="9"/>
      <c r="C1200" s="9"/>
      <c r="D1200" s="9"/>
      <c r="E1200" s="9"/>
      <c r="F1200" s="9"/>
      <c r="G1200" s="9"/>
      <c r="H1200" s="9"/>
      <c r="I1200" s="9"/>
      <c r="J1200" s="9"/>
      <c r="K1200" s="9"/>
      <c r="L1200" s="9"/>
      <c r="M1200" s="9"/>
      <c r="N1200" s="9"/>
      <c r="O1200" s="9"/>
      <c r="P1200" s="212"/>
      <c r="Q1200" s="9"/>
      <c r="R1200" s="9"/>
      <c r="S1200" s="9"/>
      <c r="T1200" s="9"/>
      <c r="U1200" s="9"/>
      <c r="V1200" s="9"/>
      <c r="W1200" s="9"/>
      <c r="X1200" s="9"/>
      <c r="Y1200" s="9"/>
      <c r="Z1200" s="9"/>
      <c r="AA1200" s="9"/>
      <c r="AB1200" s="212"/>
      <c r="AC1200" s="9"/>
      <c r="AD1200" s="9"/>
      <c r="AE1200" s="10"/>
      <c r="AF1200" s="10"/>
      <c r="AG1200" s="10"/>
      <c r="AH1200" s="10"/>
      <c r="AI1200" s="10"/>
      <c r="AJ1200" s="10"/>
      <c r="AK1200" s="10"/>
      <c r="AL1200" s="10"/>
      <c r="AM1200" s="10"/>
    </row>
    <row r="1201" spans="1:39" ht="15.75" customHeight="1" x14ac:dyDescent="0.2">
      <c r="A1201" s="9"/>
      <c r="B1201" s="9"/>
      <c r="C1201" s="9"/>
      <c r="D1201" s="9"/>
      <c r="E1201" s="9"/>
      <c r="F1201" s="9"/>
      <c r="G1201" s="9"/>
      <c r="H1201" s="9"/>
      <c r="I1201" s="9"/>
      <c r="J1201" s="9"/>
      <c r="K1201" s="9"/>
      <c r="L1201" s="9"/>
      <c r="M1201" s="9"/>
      <c r="N1201" s="9"/>
      <c r="O1201" s="9"/>
      <c r="P1201" s="212"/>
      <c r="Q1201" s="9"/>
      <c r="R1201" s="9"/>
      <c r="S1201" s="9"/>
      <c r="T1201" s="9"/>
      <c r="U1201" s="9"/>
      <c r="V1201" s="9"/>
      <c r="W1201" s="9"/>
      <c r="X1201" s="9"/>
      <c r="Y1201" s="9"/>
      <c r="Z1201" s="9"/>
      <c r="AA1201" s="9"/>
      <c r="AB1201" s="212"/>
      <c r="AC1201" s="9"/>
      <c r="AD1201" s="9"/>
      <c r="AE1201" s="10"/>
      <c r="AF1201" s="10"/>
      <c r="AG1201" s="10"/>
      <c r="AH1201" s="10"/>
      <c r="AI1201" s="10"/>
      <c r="AJ1201" s="10"/>
      <c r="AK1201" s="10"/>
      <c r="AL1201" s="10"/>
      <c r="AM1201" s="10"/>
    </row>
    <row r="1202" spans="1:39" ht="15.75" customHeight="1" x14ac:dyDescent="0.2">
      <c r="A1202" s="9"/>
      <c r="B1202" s="9"/>
      <c r="C1202" s="9"/>
      <c r="D1202" s="9"/>
      <c r="E1202" s="9"/>
      <c r="F1202" s="9"/>
      <c r="G1202" s="9"/>
      <c r="H1202" s="9"/>
      <c r="I1202" s="9"/>
      <c r="J1202" s="9"/>
      <c r="K1202" s="9"/>
      <c r="L1202" s="9"/>
      <c r="M1202" s="9"/>
      <c r="N1202" s="9"/>
      <c r="O1202" s="9"/>
      <c r="P1202" s="212"/>
      <c r="Q1202" s="9"/>
      <c r="R1202" s="9"/>
      <c r="S1202" s="9"/>
      <c r="T1202" s="9"/>
      <c r="U1202" s="9"/>
      <c r="V1202" s="9"/>
      <c r="W1202" s="9"/>
      <c r="X1202" s="9"/>
      <c r="Y1202" s="9"/>
      <c r="Z1202" s="9"/>
      <c r="AA1202" s="9"/>
      <c r="AB1202" s="212"/>
      <c r="AC1202" s="9"/>
      <c r="AD1202" s="9"/>
      <c r="AE1202" s="10"/>
      <c r="AF1202" s="10"/>
      <c r="AG1202" s="10"/>
      <c r="AH1202" s="10"/>
      <c r="AI1202" s="10"/>
      <c r="AJ1202" s="10"/>
      <c r="AK1202" s="10"/>
      <c r="AL1202" s="10"/>
      <c r="AM1202" s="10"/>
    </row>
    <row r="1203" spans="1:39" ht="15.75" customHeight="1" x14ac:dyDescent="0.2">
      <c r="A1203" s="9"/>
      <c r="B1203" s="9"/>
      <c r="C1203" s="9"/>
      <c r="D1203" s="9"/>
      <c r="E1203" s="9"/>
      <c r="F1203" s="9"/>
      <c r="G1203" s="9"/>
      <c r="H1203" s="9"/>
      <c r="I1203" s="9"/>
      <c r="J1203" s="9"/>
      <c r="K1203" s="9"/>
      <c r="L1203" s="9"/>
      <c r="M1203" s="9"/>
      <c r="N1203" s="9"/>
      <c r="O1203" s="9"/>
      <c r="P1203" s="212"/>
      <c r="Q1203" s="9"/>
      <c r="R1203" s="9"/>
      <c r="S1203" s="9"/>
      <c r="T1203" s="9"/>
      <c r="U1203" s="9"/>
      <c r="V1203" s="9"/>
      <c r="W1203" s="9"/>
      <c r="X1203" s="9"/>
      <c r="Y1203" s="9"/>
      <c r="Z1203" s="9"/>
      <c r="AA1203" s="9"/>
      <c r="AB1203" s="212"/>
      <c r="AC1203" s="9"/>
      <c r="AD1203" s="9"/>
      <c r="AE1203" s="10"/>
      <c r="AF1203" s="10"/>
      <c r="AG1203" s="10"/>
      <c r="AH1203" s="10"/>
      <c r="AI1203" s="10"/>
      <c r="AJ1203" s="10"/>
      <c r="AK1203" s="10"/>
      <c r="AL1203" s="10"/>
      <c r="AM1203" s="10"/>
    </row>
    <row r="1204" spans="1:39" ht="15.75" customHeight="1" x14ac:dyDescent="0.2">
      <c r="A1204" s="9"/>
      <c r="B1204" s="9"/>
      <c r="C1204" s="9"/>
      <c r="D1204" s="9"/>
      <c r="E1204" s="9"/>
      <c r="F1204" s="9"/>
      <c r="G1204" s="9"/>
      <c r="H1204" s="9"/>
      <c r="I1204" s="9"/>
      <c r="J1204" s="9"/>
      <c r="K1204" s="9"/>
      <c r="L1204" s="9"/>
      <c r="M1204" s="9"/>
      <c r="N1204" s="9"/>
      <c r="O1204" s="9"/>
      <c r="P1204" s="212"/>
      <c r="Q1204" s="9"/>
      <c r="R1204" s="9"/>
      <c r="S1204" s="9"/>
      <c r="T1204" s="9"/>
      <c r="U1204" s="9"/>
      <c r="V1204" s="9"/>
      <c r="W1204" s="9"/>
      <c r="X1204" s="9"/>
      <c r="Y1204" s="9"/>
      <c r="Z1204" s="9"/>
      <c r="AA1204" s="9"/>
      <c r="AB1204" s="212"/>
      <c r="AC1204" s="9"/>
      <c r="AD1204" s="9"/>
      <c r="AE1204" s="10"/>
      <c r="AF1204" s="10"/>
      <c r="AG1204" s="10"/>
      <c r="AH1204" s="10"/>
      <c r="AI1204" s="10"/>
      <c r="AJ1204" s="10"/>
      <c r="AK1204" s="10"/>
      <c r="AL1204" s="10"/>
      <c r="AM1204" s="10"/>
    </row>
    <row r="1205" spans="1:39" ht="15.75" customHeight="1" x14ac:dyDescent="0.2">
      <c r="A1205" s="9"/>
      <c r="B1205" s="9"/>
      <c r="C1205" s="9"/>
      <c r="D1205" s="9"/>
      <c r="E1205" s="9"/>
      <c r="F1205" s="9"/>
      <c r="G1205" s="9"/>
      <c r="H1205" s="9"/>
      <c r="I1205" s="9"/>
      <c r="J1205" s="9"/>
      <c r="K1205" s="9"/>
      <c r="L1205" s="9"/>
      <c r="M1205" s="9"/>
      <c r="N1205" s="9"/>
      <c r="O1205" s="9"/>
      <c r="P1205" s="212"/>
      <c r="Q1205" s="9"/>
      <c r="R1205" s="9"/>
      <c r="S1205" s="9"/>
      <c r="T1205" s="9"/>
      <c r="U1205" s="9"/>
      <c r="V1205" s="9"/>
      <c r="W1205" s="9"/>
      <c r="X1205" s="9"/>
      <c r="Y1205" s="9"/>
      <c r="Z1205" s="9"/>
      <c r="AA1205" s="9"/>
      <c r="AB1205" s="212"/>
      <c r="AC1205" s="9"/>
      <c r="AD1205" s="9"/>
      <c r="AE1205" s="10"/>
      <c r="AF1205" s="10"/>
      <c r="AG1205" s="10"/>
      <c r="AH1205" s="10"/>
      <c r="AI1205" s="10"/>
      <c r="AJ1205" s="10"/>
      <c r="AK1205" s="10"/>
      <c r="AL1205" s="10"/>
      <c r="AM1205" s="10"/>
    </row>
    <row r="1206" spans="1:39" ht="15.75" customHeight="1" x14ac:dyDescent="0.2">
      <c r="A1206" s="9"/>
      <c r="B1206" s="9"/>
      <c r="C1206" s="9"/>
      <c r="D1206" s="9"/>
      <c r="E1206" s="9"/>
      <c r="F1206" s="9"/>
      <c r="G1206" s="9"/>
      <c r="H1206" s="9"/>
      <c r="I1206" s="9"/>
      <c r="J1206" s="9"/>
      <c r="K1206" s="9"/>
      <c r="L1206" s="9"/>
      <c r="M1206" s="9"/>
      <c r="N1206" s="9"/>
      <c r="O1206" s="9"/>
      <c r="P1206" s="212"/>
      <c r="Q1206" s="9"/>
      <c r="R1206" s="9"/>
      <c r="S1206" s="9"/>
      <c r="T1206" s="9"/>
      <c r="U1206" s="9"/>
      <c r="V1206" s="9"/>
      <c r="W1206" s="9"/>
      <c r="X1206" s="9"/>
      <c r="Y1206" s="9"/>
      <c r="Z1206" s="9"/>
      <c r="AA1206" s="9"/>
      <c r="AB1206" s="212"/>
      <c r="AC1206" s="9"/>
      <c r="AD1206" s="9"/>
      <c r="AE1206" s="10"/>
      <c r="AF1206" s="10"/>
      <c r="AG1206" s="10"/>
      <c r="AH1206" s="10"/>
      <c r="AI1206" s="10"/>
      <c r="AJ1206" s="10"/>
      <c r="AK1206" s="10"/>
      <c r="AL1206" s="10"/>
      <c r="AM1206" s="10"/>
    </row>
    <row r="1207" spans="1:39" ht="15.75" customHeight="1" x14ac:dyDescent="0.2">
      <c r="A1207" s="9"/>
      <c r="B1207" s="9"/>
      <c r="C1207" s="9"/>
      <c r="D1207" s="9"/>
      <c r="E1207" s="9"/>
      <c r="F1207" s="9"/>
      <c r="G1207" s="9"/>
      <c r="H1207" s="9"/>
      <c r="I1207" s="9"/>
      <c r="J1207" s="9"/>
      <c r="K1207" s="9"/>
      <c r="L1207" s="9"/>
      <c r="M1207" s="9"/>
      <c r="N1207" s="9"/>
      <c r="O1207" s="9"/>
      <c r="P1207" s="212"/>
      <c r="Q1207" s="9"/>
      <c r="R1207" s="9"/>
      <c r="S1207" s="9"/>
      <c r="T1207" s="9"/>
      <c r="U1207" s="9"/>
      <c r="V1207" s="9"/>
      <c r="W1207" s="9"/>
      <c r="X1207" s="9"/>
      <c r="Y1207" s="9"/>
      <c r="Z1207" s="9"/>
      <c r="AA1207" s="9"/>
      <c r="AB1207" s="212"/>
      <c r="AC1207" s="9"/>
      <c r="AD1207" s="9"/>
      <c r="AE1207" s="10"/>
      <c r="AF1207" s="10"/>
      <c r="AG1207" s="10"/>
      <c r="AH1207" s="10"/>
      <c r="AI1207" s="10"/>
      <c r="AJ1207" s="10"/>
      <c r="AK1207" s="10"/>
      <c r="AL1207" s="10"/>
      <c r="AM1207" s="10"/>
    </row>
  </sheetData>
  <mergeCells count="31">
    <mergeCell ref="E428:P428"/>
    <mergeCell ref="B429:C429"/>
    <mergeCell ref="B433:C433"/>
    <mergeCell ref="B437:C437"/>
    <mergeCell ref="B438:C438"/>
    <mergeCell ref="B427:C427"/>
    <mergeCell ref="B440:C440"/>
    <mergeCell ref="B441:C441"/>
    <mergeCell ref="B444:C444"/>
    <mergeCell ref="B428:C428"/>
    <mergeCell ref="B439:C439"/>
    <mergeCell ref="B417:C417"/>
    <mergeCell ref="B421:C421"/>
    <mergeCell ref="B422:C422"/>
    <mergeCell ref="E422:P422"/>
    <mergeCell ref="B423:C423"/>
    <mergeCell ref="B377:C377"/>
    <mergeCell ref="B413:C413"/>
    <mergeCell ref="E414:P414"/>
    <mergeCell ref="Q414:AB414"/>
    <mergeCell ref="B414:C414"/>
    <mergeCell ref="B367:C367"/>
    <mergeCell ref="B373:C373"/>
    <mergeCell ref="B375:C375"/>
    <mergeCell ref="B376:C376"/>
    <mergeCell ref="E376:P376"/>
    <mergeCell ref="B1:C1"/>
    <mergeCell ref="Q1:AB1"/>
    <mergeCell ref="D8:F8"/>
    <mergeCell ref="G8:R8"/>
    <mergeCell ref="S8:AD8"/>
  </mergeCells>
  <conditionalFormatting sqref="D12:AD13">
    <cfRule type="cellIs" dxfId="5" priority="2" operator="lessThan">
      <formula>0</formula>
    </cfRule>
  </conditionalFormatting>
  <conditionalFormatting sqref="D445:AD446">
    <cfRule type="cellIs" dxfId="4" priority="1" operator="lessThan">
      <formula>0</formula>
    </cfRule>
  </conditionalFormatting>
  <conditionalFormatting sqref="G2:G4">
    <cfRule type="cellIs" dxfId="3" priority="3" operator="lessThan">
      <formula>0</formula>
    </cfRule>
  </conditionalFormatting>
  <printOptions horizontalCentered="1" gridLines="1"/>
  <pageMargins left="0.7" right="0.7" top="0.75" bottom="0.75" header="0" footer="0"/>
  <pageSetup paperSize="9" fitToHeight="0" pageOrder="overThenDown" orientation="landscape" cellComments="atEnd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AK1000"/>
  <sheetViews>
    <sheetView workbookViewId="0">
      <pane xSplit="1" topLeftCell="B1" activePane="topRight" state="frozen"/>
      <selection pane="topRight" activeCell="C2" sqref="C2"/>
    </sheetView>
  </sheetViews>
  <sheetFormatPr defaultColWidth="12.5703125" defaultRowHeight="15" customHeight="1" outlineLevelRow="1" x14ac:dyDescent="0.2"/>
  <cols>
    <col min="1" max="1" width="35.42578125" customWidth="1"/>
    <col min="2" max="2" width="15.28515625" customWidth="1"/>
    <col min="8" max="8" width="14.140625" customWidth="1"/>
  </cols>
  <sheetData>
    <row r="1" spans="1:37" ht="12.75" x14ac:dyDescent="0.2">
      <c r="X1" s="213"/>
      <c r="Y1" s="214"/>
      <c r="Z1" s="214"/>
      <c r="AA1" s="214"/>
    </row>
    <row r="2" spans="1:37" ht="12.75" x14ac:dyDescent="0.2">
      <c r="X2" s="213"/>
      <c r="Y2" s="214"/>
      <c r="Z2" s="214"/>
      <c r="AA2" s="214"/>
    </row>
    <row r="3" spans="1:37" ht="15.75" customHeight="1" x14ac:dyDescent="0.2">
      <c r="A3" s="26" t="s">
        <v>8</v>
      </c>
      <c r="B3" s="28" t="s">
        <v>157</v>
      </c>
      <c r="C3" s="479" t="s">
        <v>158</v>
      </c>
      <c r="D3" s="477"/>
      <c r="E3" s="477"/>
      <c r="F3" s="477"/>
      <c r="G3" s="477"/>
      <c r="H3" s="477"/>
      <c r="I3" s="477"/>
      <c r="J3" s="477"/>
      <c r="K3" s="477"/>
      <c r="L3" s="477"/>
      <c r="M3" s="477"/>
      <c r="N3" s="477"/>
      <c r="O3" s="479" t="s">
        <v>9</v>
      </c>
      <c r="P3" s="477"/>
      <c r="Q3" s="477"/>
      <c r="R3" s="477"/>
      <c r="S3" s="477"/>
      <c r="T3" s="477"/>
      <c r="U3" s="477"/>
      <c r="V3" s="477"/>
      <c r="W3" s="477"/>
      <c r="X3" s="477"/>
      <c r="Y3" s="215"/>
      <c r="Z3" s="215"/>
      <c r="AA3" s="185"/>
      <c r="AB3" s="9"/>
      <c r="AC3" s="9"/>
      <c r="AD3" s="9"/>
      <c r="AE3" s="9"/>
      <c r="AF3" s="9"/>
      <c r="AG3" s="9"/>
      <c r="AH3" s="9"/>
      <c r="AI3" s="9"/>
      <c r="AJ3" s="9"/>
      <c r="AK3" s="9"/>
    </row>
    <row r="4" spans="1:37" ht="15.75" customHeight="1" x14ac:dyDescent="0.2">
      <c r="A4" s="29" t="s">
        <v>13</v>
      </c>
      <c r="B4" s="183" t="s">
        <v>16</v>
      </c>
      <c r="C4" s="183" t="s">
        <v>17</v>
      </c>
      <c r="D4" s="183" t="s">
        <v>18</v>
      </c>
      <c r="E4" s="183" t="s">
        <v>19</v>
      </c>
      <c r="F4" s="183" t="s">
        <v>20</v>
      </c>
      <c r="G4" s="183" t="s">
        <v>21</v>
      </c>
      <c r="H4" s="183" t="s">
        <v>22</v>
      </c>
      <c r="I4" s="183" t="s">
        <v>23</v>
      </c>
      <c r="J4" s="183" t="s">
        <v>24</v>
      </c>
      <c r="K4" s="183" t="s">
        <v>25</v>
      </c>
      <c r="L4" s="183" t="s">
        <v>14</v>
      </c>
      <c r="M4" s="183" t="s">
        <v>15</v>
      </c>
      <c r="N4" s="183" t="s">
        <v>16</v>
      </c>
      <c r="O4" s="183" t="s">
        <v>17</v>
      </c>
      <c r="P4" s="183" t="s">
        <v>18</v>
      </c>
      <c r="Q4" s="183" t="s">
        <v>19</v>
      </c>
      <c r="R4" s="183" t="s">
        <v>20</v>
      </c>
      <c r="S4" s="183" t="s">
        <v>21</v>
      </c>
      <c r="T4" s="183" t="s">
        <v>22</v>
      </c>
      <c r="U4" s="183" t="s">
        <v>23</v>
      </c>
      <c r="V4" s="183" t="s">
        <v>24</v>
      </c>
      <c r="W4" s="183" t="s">
        <v>25</v>
      </c>
      <c r="X4" s="216" t="s">
        <v>159</v>
      </c>
      <c r="Y4" s="183"/>
      <c r="Z4" s="183"/>
      <c r="AA4" s="185"/>
      <c r="AB4" s="217"/>
      <c r="AC4" s="217"/>
      <c r="AD4" s="217"/>
      <c r="AE4" s="217"/>
      <c r="AF4" s="217"/>
      <c r="AG4" s="217"/>
      <c r="AH4" s="217"/>
      <c r="AI4" s="217"/>
      <c r="AJ4" s="217"/>
      <c r="AK4" s="217"/>
    </row>
    <row r="5" spans="1:37" ht="15.75" customHeight="1" outlineLevel="1" x14ac:dyDescent="0.2">
      <c r="A5" s="218" t="s">
        <v>124</v>
      </c>
      <c r="B5" s="219">
        <v>0</v>
      </c>
      <c r="C5" s="220">
        <f t="shared" ref="C5:W5" si="0">B41</f>
        <v>29766</v>
      </c>
      <c r="D5" s="220">
        <f t="shared" si="0"/>
        <v>33001</v>
      </c>
      <c r="E5" s="220">
        <f t="shared" si="0"/>
        <v>261953.08000000002</v>
      </c>
      <c r="F5" s="220">
        <f t="shared" si="0"/>
        <v>4604.6100000000442</v>
      </c>
      <c r="G5" s="220">
        <f t="shared" si="0"/>
        <v>-4215.8400000000256</v>
      </c>
      <c r="H5" s="220">
        <f t="shared" si="0"/>
        <v>1164554.69</v>
      </c>
      <c r="I5" s="220">
        <f t="shared" si="0"/>
        <v>533680.84999999986</v>
      </c>
      <c r="J5" s="220">
        <f t="shared" si="0"/>
        <v>311062.84999999986</v>
      </c>
      <c r="K5" s="220">
        <f t="shared" si="0"/>
        <v>536245.84999999986</v>
      </c>
      <c r="L5" s="220">
        <f t="shared" si="0"/>
        <v>314115.84999999986</v>
      </c>
      <c r="M5" s="220">
        <f t="shared" si="0"/>
        <v>413639.34999999963</v>
      </c>
      <c r="N5" s="220">
        <f t="shared" si="0"/>
        <v>165434.68999999959</v>
      </c>
      <c r="O5" s="220">
        <f t="shared" si="0"/>
        <v>72550.689999999595</v>
      </c>
      <c r="P5" s="220">
        <f t="shared" si="0"/>
        <v>545895.68999999959</v>
      </c>
      <c r="Q5" s="220">
        <f t="shared" si="0"/>
        <v>459770.68999999948</v>
      </c>
      <c r="R5" s="220">
        <f t="shared" si="0"/>
        <v>557146.68999999948</v>
      </c>
      <c r="S5" s="220">
        <f t="shared" si="0"/>
        <v>664414.68999999948</v>
      </c>
      <c r="T5" s="220">
        <f t="shared" si="0"/>
        <v>808395.68999999948</v>
      </c>
      <c r="U5" s="220">
        <f t="shared" si="0"/>
        <v>597094.68999999948</v>
      </c>
      <c r="V5" s="220">
        <f t="shared" si="0"/>
        <v>669106.68999999948</v>
      </c>
      <c r="W5" s="220">
        <f t="shared" si="0"/>
        <v>453000</v>
      </c>
      <c r="X5" s="221"/>
      <c r="Y5" s="185">
        <f t="shared" ref="Y5:Z5" si="1">X41</f>
        <v>0</v>
      </c>
      <c r="Z5" s="185">
        <f t="shared" si="1"/>
        <v>0</v>
      </c>
      <c r="AA5" s="185"/>
      <c r="AB5" s="204"/>
      <c r="AC5" s="204"/>
      <c r="AD5" s="204"/>
      <c r="AE5" s="204"/>
      <c r="AF5" s="204"/>
      <c r="AG5" s="204"/>
      <c r="AH5" s="204"/>
      <c r="AI5" s="204"/>
      <c r="AJ5" s="204"/>
      <c r="AK5" s="204"/>
    </row>
    <row r="6" spans="1:37" ht="21.75" customHeight="1" x14ac:dyDescent="0.2">
      <c r="A6" s="75" t="s">
        <v>160</v>
      </c>
      <c r="B6" s="77">
        <f t="shared" ref="B6:W6" si="2">SUM(B7:B26)</f>
        <v>-350234</v>
      </c>
      <c r="C6" s="77">
        <f t="shared" si="2"/>
        <v>-96765</v>
      </c>
      <c r="D6" s="77">
        <f t="shared" si="2"/>
        <v>-71047.919999999984</v>
      </c>
      <c r="E6" s="77">
        <f t="shared" si="2"/>
        <v>-257348.46999999997</v>
      </c>
      <c r="F6" s="77">
        <f t="shared" si="2"/>
        <v>-208820.45000000007</v>
      </c>
      <c r="G6" s="77">
        <f t="shared" si="2"/>
        <v>918770.53</v>
      </c>
      <c r="H6" s="77">
        <f t="shared" si="2"/>
        <v>-1130873.8400000001</v>
      </c>
      <c r="I6" s="77">
        <f t="shared" si="2"/>
        <v>-222618</v>
      </c>
      <c r="J6" s="77">
        <f t="shared" si="2"/>
        <v>185183</v>
      </c>
      <c r="K6" s="77">
        <f t="shared" si="2"/>
        <v>-644630</v>
      </c>
      <c r="L6" s="77">
        <f t="shared" si="2"/>
        <v>-2415476.5</v>
      </c>
      <c r="M6" s="77">
        <f t="shared" si="2"/>
        <v>-1048204.66</v>
      </c>
      <c r="N6" s="77">
        <f t="shared" si="2"/>
        <v>-152884</v>
      </c>
      <c r="O6" s="77">
        <f t="shared" si="2"/>
        <v>473345</v>
      </c>
      <c r="P6" s="77">
        <f t="shared" si="2"/>
        <v>613875</v>
      </c>
      <c r="Q6" s="77">
        <f t="shared" si="2"/>
        <v>797376</v>
      </c>
      <c r="R6" s="77">
        <f t="shared" si="2"/>
        <v>193268</v>
      </c>
      <c r="S6" s="77">
        <f t="shared" si="2"/>
        <v>143981</v>
      </c>
      <c r="T6" s="77">
        <f t="shared" si="2"/>
        <v>-211301</v>
      </c>
      <c r="U6" s="77">
        <f t="shared" si="2"/>
        <v>72012</v>
      </c>
      <c r="V6" s="77">
        <f t="shared" si="2"/>
        <v>194930</v>
      </c>
      <c r="W6" s="77">
        <f t="shared" si="2"/>
        <v>220316</v>
      </c>
      <c r="X6" s="77">
        <f t="shared" ref="X6:X40" si="3">SUM(B6:W6)</f>
        <v>-2997147.3100000005</v>
      </c>
      <c r="Y6" s="72"/>
      <c r="Z6" s="72"/>
      <c r="AA6" s="72"/>
      <c r="AB6" s="9"/>
      <c r="AC6" s="9"/>
      <c r="AD6" s="9"/>
      <c r="AE6" s="9"/>
      <c r="AF6" s="9"/>
      <c r="AG6" s="9"/>
      <c r="AH6" s="9"/>
      <c r="AI6" s="9"/>
      <c r="AJ6" s="9"/>
      <c r="AK6" s="9"/>
    </row>
    <row r="7" spans="1:37" ht="16.5" customHeight="1" x14ac:dyDescent="0.2">
      <c r="A7" s="46" t="s">
        <v>161</v>
      </c>
      <c r="B7" s="158"/>
      <c r="C7" s="158"/>
      <c r="D7" s="158">
        <f>107250.4+116712.67+88182.7</f>
        <v>312145.77</v>
      </c>
      <c r="E7" s="158">
        <f>251003+252335.59+328745.94</f>
        <v>832084.53</v>
      </c>
      <c r="F7" s="158">
        <f>148222+445022.11+225140.97+144536.06</f>
        <v>962921.1399999999</v>
      </c>
      <c r="G7" s="158">
        <f>81381.8+196235+301217.69+288750+430179.04</f>
        <v>1297763.53</v>
      </c>
      <c r="H7" s="158">
        <f>399451.57+300000+170000+237000+189900+140000</f>
        <v>1436351.57</v>
      </c>
      <c r="I7" s="158">
        <f>120000+100000+200000+280000+340000+300000</f>
        <v>1340000</v>
      </c>
      <c r="J7" s="158">
        <v>790000</v>
      </c>
      <c r="K7" s="158">
        <v>832000</v>
      </c>
      <c r="L7" s="158">
        <v>1135000</v>
      </c>
      <c r="M7" s="158">
        <v>1166000</v>
      </c>
      <c r="N7" s="158">
        <v>2003500</v>
      </c>
      <c r="O7" s="158">
        <v>710000</v>
      </c>
      <c r="P7" s="158">
        <v>1440000</v>
      </c>
      <c r="Q7" s="158">
        <v>1680000</v>
      </c>
      <c r="R7" s="158">
        <v>1385000</v>
      </c>
      <c r="S7" s="158">
        <v>983000</v>
      </c>
      <c r="T7" s="158">
        <v>730000</v>
      </c>
      <c r="U7" s="158">
        <v>623000</v>
      </c>
      <c r="V7" s="158">
        <v>485000</v>
      </c>
      <c r="W7" s="158">
        <v>399000</v>
      </c>
      <c r="X7" s="222">
        <f t="shared" si="3"/>
        <v>20542766.539999999</v>
      </c>
      <c r="Y7" s="158"/>
      <c r="Z7" s="158"/>
      <c r="AA7" s="223"/>
      <c r="AB7" s="10"/>
      <c r="AC7" s="10"/>
      <c r="AD7" s="10"/>
      <c r="AE7" s="10"/>
      <c r="AF7" s="10"/>
      <c r="AG7" s="10"/>
      <c r="AH7" s="10"/>
      <c r="AI7" s="10"/>
      <c r="AJ7" s="10"/>
      <c r="AK7" s="10"/>
    </row>
    <row r="8" spans="1:37" ht="16.5" customHeight="1" x14ac:dyDescent="0.2">
      <c r="A8" s="46" t="s">
        <v>162</v>
      </c>
      <c r="B8" s="224">
        <v>-230700</v>
      </c>
      <c r="C8" s="224"/>
      <c r="D8" s="224">
        <v>-245250</v>
      </c>
      <c r="E8" s="224">
        <f>-50000-412000-66554-500000</f>
        <v>-1028554</v>
      </c>
      <c r="F8" s="224">
        <f>-100000-61567.59-200000-68607</f>
        <v>-430174.58999999997</v>
      </c>
      <c r="G8" s="224">
        <f>-43668-24000</f>
        <v>-67668</v>
      </c>
      <c r="H8" s="224">
        <f>-53825.41-300000-367000-202600-117000-290000-300000-470000</f>
        <v>-2100425.41</v>
      </c>
      <c r="I8" s="224">
        <f>-300000-234100-198000</f>
        <v>-732100</v>
      </c>
      <c r="J8" s="224">
        <v>-250000</v>
      </c>
      <c r="K8" s="224">
        <v>-753600</v>
      </c>
      <c r="L8" s="224">
        <v>-2656642</v>
      </c>
      <c r="M8" s="224">
        <v>-1448452</v>
      </c>
      <c r="N8" s="224">
        <v>-1036012</v>
      </c>
      <c r="O8" s="224"/>
      <c r="P8" s="224"/>
      <c r="Q8" s="224"/>
      <c r="R8" s="224">
        <v>-644142</v>
      </c>
      <c r="S8" s="224">
        <v>-169000</v>
      </c>
      <c r="T8" s="224">
        <v>-290348</v>
      </c>
      <c r="U8" s="224">
        <v>-100000</v>
      </c>
      <c r="V8" s="224"/>
      <c r="W8" s="224"/>
      <c r="X8" s="222">
        <f t="shared" si="3"/>
        <v>-12183068</v>
      </c>
      <c r="Y8" s="224"/>
      <c r="Z8" s="224"/>
      <c r="AA8" s="223"/>
      <c r="AB8" s="10"/>
      <c r="AC8" s="10"/>
      <c r="AD8" s="10"/>
      <c r="AE8" s="10"/>
      <c r="AF8" s="10"/>
      <c r="AG8" s="10"/>
      <c r="AH8" s="10"/>
      <c r="AI8" s="10"/>
      <c r="AJ8" s="10"/>
      <c r="AK8" s="10"/>
    </row>
    <row r="9" spans="1:37" ht="15.75" customHeight="1" x14ac:dyDescent="0.2">
      <c r="A9" s="46" t="s">
        <v>163</v>
      </c>
      <c r="B9" s="51"/>
      <c r="C9" s="158">
        <v>-27600</v>
      </c>
      <c r="D9" s="158">
        <v>-7950</v>
      </c>
      <c r="E9" s="158">
        <v>-22800</v>
      </c>
      <c r="F9" s="158">
        <f>-150000-9700-5500-21320</f>
        <v>-186520</v>
      </c>
      <c r="G9" s="158">
        <f>-5500-24795</f>
        <v>-30295</v>
      </c>
      <c r="H9" s="158">
        <f>-26000-36000-4055-30000</f>
        <v>-96055</v>
      </c>
      <c r="I9" s="158">
        <f>-11000-12000-20000</f>
        <v>-43000</v>
      </c>
      <c r="J9" s="158">
        <v>-24000</v>
      </c>
      <c r="K9" s="158">
        <v>-36000</v>
      </c>
      <c r="L9" s="158">
        <v>-203000</v>
      </c>
      <c r="M9" s="158">
        <v>-140220</v>
      </c>
      <c r="N9" s="158">
        <v>-125000</v>
      </c>
      <c r="O9" s="51"/>
      <c r="P9" s="158">
        <f>-31915-55000</f>
        <v>-86915</v>
      </c>
      <c r="Q9" s="158">
        <v>-45410</v>
      </c>
      <c r="R9" s="158">
        <v>-27918</v>
      </c>
      <c r="S9" s="158">
        <v>-80000</v>
      </c>
      <c r="T9" s="158">
        <v>-150000</v>
      </c>
      <c r="U9" s="158">
        <v>-100000</v>
      </c>
      <c r="V9" s="51"/>
      <c r="W9" s="51"/>
      <c r="X9" s="225">
        <f t="shared" si="3"/>
        <v>-1432683</v>
      </c>
      <c r="Y9" s="51"/>
      <c r="Z9" s="51"/>
      <c r="AA9" s="223"/>
      <c r="AB9" s="10"/>
      <c r="AC9" s="10"/>
      <c r="AD9" s="10"/>
      <c r="AE9" s="10"/>
      <c r="AF9" s="10"/>
      <c r="AG9" s="10"/>
      <c r="AH9" s="10"/>
      <c r="AI9" s="10"/>
      <c r="AJ9" s="10"/>
      <c r="AK9" s="10"/>
    </row>
    <row r="10" spans="1:37" ht="15.75" customHeight="1" x14ac:dyDescent="0.2">
      <c r="A10" s="46" t="s">
        <v>164</v>
      </c>
      <c r="B10" s="51"/>
      <c r="C10" s="51"/>
      <c r="D10" s="51"/>
      <c r="E10" s="51"/>
      <c r="F10" s="51"/>
      <c r="G10" s="51"/>
      <c r="H10" s="158">
        <v>-22600</v>
      </c>
      <c r="I10" s="158">
        <v>-25000</v>
      </c>
      <c r="J10" s="158">
        <v>-30800</v>
      </c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222">
        <f t="shared" si="3"/>
        <v>-78400</v>
      </c>
      <c r="Y10" s="51"/>
      <c r="Z10" s="51"/>
      <c r="AA10" s="223"/>
      <c r="AB10" s="10"/>
      <c r="AC10" s="10"/>
      <c r="AD10" s="10"/>
      <c r="AE10" s="10"/>
      <c r="AF10" s="10"/>
      <c r="AG10" s="10"/>
      <c r="AH10" s="10"/>
      <c r="AI10" s="10"/>
      <c r="AJ10" s="10"/>
      <c r="AK10" s="10"/>
    </row>
    <row r="11" spans="1:37" ht="15.75" customHeight="1" x14ac:dyDescent="0.2">
      <c r="A11" s="46" t="s">
        <v>165</v>
      </c>
      <c r="B11" s="22"/>
      <c r="C11" s="224"/>
      <c r="D11" s="22"/>
      <c r="E11" s="224"/>
      <c r="F11" s="224"/>
      <c r="G11" s="224"/>
      <c r="H11" s="224">
        <f>-25000-6050</f>
        <v>-31050</v>
      </c>
      <c r="I11" s="224">
        <v>-30000</v>
      </c>
      <c r="J11" s="224">
        <v>-2539</v>
      </c>
      <c r="K11" s="224"/>
      <c r="L11" s="224">
        <v>-8090</v>
      </c>
      <c r="M11" s="224">
        <f>-4390-7500</f>
        <v>-11890</v>
      </c>
      <c r="N11" s="224">
        <v>-9660</v>
      </c>
      <c r="O11" s="22"/>
      <c r="P11" s="224">
        <v>-31900</v>
      </c>
      <c r="Q11" s="224">
        <v>-7532</v>
      </c>
      <c r="R11" s="22"/>
      <c r="S11" s="22"/>
      <c r="T11" s="22"/>
      <c r="U11" s="22"/>
      <c r="V11" s="22"/>
      <c r="W11" s="22"/>
      <c r="X11" s="222">
        <f t="shared" si="3"/>
        <v>-132661</v>
      </c>
      <c r="Y11" s="22"/>
      <c r="Z11" s="22"/>
      <c r="AA11" s="223"/>
      <c r="AB11" s="10"/>
      <c r="AC11" s="10"/>
      <c r="AD11" s="10"/>
      <c r="AE11" s="10"/>
      <c r="AF11" s="10"/>
      <c r="AG11" s="10"/>
      <c r="AH11" s="10"/>
      <c r="AI11" s="10"/>
      <c r="AJ11" s="10"/>
      <c r="AK11" s="10"/>
    </row>
    <row r="12" spans="1:37" ht="15.75" customHeight="1" x14ac:dyDescent="0.2">
      <c r="A12" s="46" t="s">
        <v>166</v>
      </c>
      <c r="B12" s="22"/>
      <c r="C12" s="22"/>
      <c r="D12" s="22"/>
      <c r="E12" s="224">
        <v>-32000</v>
      </c>
      <c r="F12" s="224">
        <f>-5000-18000</f>
        <v>-23000</v>
      </c>
      <c r="G12" s="224">
        <f>-60000-100000</f>
        <v>-160000</v>
      </c>
      <c r="H12" s="224">
        <v>-40000</v>
      </c>
      <c r="I12" s="224">
        <f>-25000-300000</f>
        <v>-325000</v>
      </c>
      <c r="J12" s="224">
        <v>-56640</v>
      </c>
      <c r="K12" s="224">
        <v>-78000</v>
      </c>
      <c r="L12" s="224">
        <v>-25000</v>
      </c>
      <c r="M12" s="224">
        <v>-144027</v>
      </c>
      <c r="N12" s="224">
        <v>-753000</v>
      </c>
      <c r="O12" s="224">
        <v>0</v>
      </c>
      <c r="P12" s="224">
        <v>-494000</v>
      </c>
      <c r="Q12" s="224">
        <v>-358400</v>
      </c>
      <c r="R12" s="224">
        <v>-350000</v>
      </c>
      <c r="S12" s="224">
        <v>-260700</v>
      </c>
      <c r="T12" s="224">
        <v>-153600</v>
      </c>
      <c r="U12" s="224">
        <v>-38000</v>
      </c>
      <c r="V12" s="224">
        <v>-57400</v>
      </c>
      <c r="W12" s="224">
        <v>-162000</v>
      </c>
      <c r="X12" s="222">
        <f t="shared" si="3"/>
        <v>-3510767</v>
      </c>
      <c r="Y12" s="22"/>
      <c r="Z12" s="22"/>
      <c r="AA12" s="223"/>
      <c r="AB12" s="10"/>
      <c r="AC12" s="10"/>
      <c r="AD12" s="10"/>
      <c r="AE12" s="10"/>
      <c r="AF12" s="10"/>
      <c r="AG12" s="10"/>
      <c r="AH12" s="10"/>
      <c r="AI12" s="10"/>
      <c r="AJ12" s="10"/>
      <c r="AK12" s="10"/>
    </row>
    <row r="13" spans="1:37" ht="15.75" customHeight="1" x14ac:dyDescent="0.2">
      <c r="A13" s="46" t="s">
        <v>167</v>
      </c>
      <c r="B13" s="22"/>
      <c r="C13" s="22"/>
      <c r="D13" s="22"/>
      <c r="E13" s="224"/>
      <c r="F13" s="224"/>
      <c r="G13" s="224"/>
      <c r="H13" s="224"/>
      <c r="I13" s="224"/>
      <c r="J13" s="224">
        <v>-143000</v>
      </c>
      <c r="K13" s="224">
        <v>-320915</v>
      </c>
      <c r="L13" s="224">
        <v>-139915</v>
      </c>
      <c r="M13" s="224">
        <v>-113569</v>
      </c>
      <c r="N13" s="224">
        <v>-174015</v>
      </c>
      <c r="O13" s="224">
        <v>-231900</v>
      </c>
      <c r="P13" s="224">
        <v>-114100</v>
      </c>
      <c r="Q13" s="224">
        <v>-139630</v>
      </c>
      <c r="R13" s="224">
        <v>-35930</v>
      </c>
      <c r="S13" s="224">
        <v>-11484</v>
      </c>
      <c r="T13" s="224">
        <v>-60625</v>
      </c>
      <c r="U13" s="224">
        <v>-109766</v>
      </c>
      <c r="V13" s="224">
        <v>-60625</v>
      </c>
      <c r="W13" s="224">
        <v>-11484</v>
      </c>
      <c r="X13" s="222">
        <f t="shared" si="3"/>
        <v>-1666958</v>
      </c>
      <c r="Y13" s="22"/>
      <c r="Z13" s="22"/>
      <c r="AA13" s="223"/>
      <c r="AB13" s="10"/>
      <c r="AC13" s="10"/>
      <c r="AD13" s="10"/>
      <c r="AE13" s="10"/>
      <c r="AF13" s="10"/>
      <c r="AG13" s="10"/>
      <c r="AH13" s="10"/>
      <c r="AI13" s="10"/>
      <c r="AJ13" s="10"/>
      <c r="AK13" s="10"/>
    </row>
    <row r="14" spans="1:37" ht="15.75" customHeight="1" x14ac:dyDescent="0.2">
      <c r="A14" s="46" t="s">
        <v>168</v>
      </c>
      <c r="B14" s="51"/>
      <c r="C14" s="51"/>
      <c r="D14" s="51"/>
      <c r="E14" s="51"/>
      <c r="F14" s="51"/>
      <c r="G14" s="51"/>
      <c r="H14" s="158">
        <v>-50000</v>
      </c>
      <c r="I14" s="51"/>
      <c r="J14" s="158">
        <f>-5492-50000</f>
        <v>-55492</v>
      </c>
      <c r="K14" s="51"/>
      <c r="L14" s="51"/>
      <c r="M14" s="51"/>
      <c r="N14" s="51"/>
      <c r="O14" s="51"/>
      <c r="P14" s="51"/>
      <c r="Q14" s="158">
        <v>-90000</v>
      </c>
      <c r="R14" s="158">
        <v>-21000</v>
      </c>
      <c r="S14" s="51"/>
      <c r="T14" s="158">
        <v>-21000</v>
      </c>
      <c r="U14" s="51"/>
      <c r="V14" s="158">
        <f>-19000-41000-6000</f>
        <v>-66000</v>
      </c>
      <c r="W14" s="158">
        <v>-26600</v>
      </c>
      <c r="X14" s="222">
        <f t="shared" si="3"/>
        <v>-330092</v>
      </c>
      <c r="Y14" s="51"/>
      <c r="Z14" s="51"/>
      <c r="AA14" s="223"/>
      <c r="AB14" s="10"/>
      <c r="AC14" s="10"/>
      <c r="AD14" s="10"/>
      <c r="AE14" s="10"/>
      <c r="AF14" s="10"/>
      <c r="AG14" s="10"/>
      <c r="AH14" s="10"/>
      <c r="AI14" s="10"/>
      <c r="AJ14" s="10"/>
      <c r="AK14" s="10"/>
    </row>
    <row r="15" spans="1:37" ht="15.75" customHeight="1" x14ac:dyDescent="0.2">
      <c r="A15" s="46" t="s">
        <v>169</v>
      </c>
      <c r="B15" s="51"/>
      <c r="C15" s="51"/>
      <c r="D15" s="51"/>
      <c r="E15" s="51"/>
      <c r="F15" s="51"/>
      <c r="G15" s="51"/>
      <c r="H15" s="158">
        <f>-30000-11794-12000</f>
        <v>-53794</v>
      </c>
      <c r="I15" s="51"/>
      <c r="J15" s="51"/>
      <c r="K15" s="51"/>
      <c r="L15" s="51"/>
      <c r="M15" s="158">
        <v>-60500</v>
      </c>
      <c r="N15" s="51"/>
      <c r="O15" s="51"/>
      <c r="P15" s="51"/>
      <c r="Q15" s="51"/>
      <c r="R15" s="51"/>
      <c r="S15" s="51"/>
      <c r="T15" s="158">
        <v>-120000</v>
      </c>
      <c r="U15" s="51"/>
      <c r="V15" s="158">
        <f>-23100-11000</f>
        <v>-34100</v>
      </c>
      <c r="W15" s="158">
        <v>-37100</v>
      </c>
      <c r="X15" s="222">
        <f t="shared" si="3"/>
        <v>-305494</v>
      </c>
      <c r="Y15" s="51"/>
      <c r="Z15" s="51"/>
      <c r="AA15" s="223"/>
      <c r="AB15" s="10"/>
      <c r="AC15" s="10"/>
      <c r="AD15" s="10"/>
      <c r="AE15" s="10"/>
      <c r="AF15" s="10"/>
      <c r="AG15" s="10"/>
      <c r="AH15" s="10"/>
      <c r="AI15" s="10"/>
      <c r="AJ15" s="10"/>
      <c r="AK15" s="10"/>
    </row>
    <row r="16" spans="1:37" ht="15.75" customHeight="1" x14ac:dyDescent="0.2">
      <c r="A16" s="46" t="s">
        <v>170</v>
      </c>
      <c r="B16" s="158">
        <f>-3449-689-1079-358</f>
        <v>-5575</v>
      </c>
      <c r="C16" s="158">
        <f>-117-1079</f>
        <v>-1196</v>
      </c>
      <c r="D16" s="158">
        <v>-1079</v>
      </c>
      <c r="E16" s="158">
        <v>-1079</v>
      </c>
      <c r="F16" s="158">
        <v>-1079</v>
      </c>
      <c r="G16" s="158">
        <f>-1079-279</f>
        <v>-1358</v>
      </c>
      <c r="H16" s="158">
        <v>-1079</v>
      </c>
      <c r="I16" s="158">
        <f>-753-1079</f>
        <v>-1832</v>
      </c>
      <c r="J16" s="158">
        <v>-2346</v>
      </c>
      <c r="K16" s="224">
        <f>-2418-2508</f>
        <v>-4926</v>
      </c>
      <c r="L16" s="158">
        <f>-1216-2104-384-391.5-549-954-391.5-1079-399</f>
        <v>-7468</v>
      </c>
      <c r="M16" s="158">
        <f>-819-783.66-3027-1500</f>
        <v>-6129.66</v>
      </c>
      <c r="N16" s="158">
        <f>-2434-1640-8505-6118</f>
        <v>-18697</v>
      </c>
      <c r="O16" s="158">
        <v>-4755</v>
      </c>
      <c r="P16" s="158">
        <v>-4500</v>
      </c>
      <c r="Q16" s="158">
        <f>-6602-12250-1800</f>
        <v>-20652</v>
      </c>
      <c r="R16" s="158">
        <v>-13717</v>
      </c>
      <c r="S16" s="158">
        <v>-1350</v>
      </c>
      <c r="T16" s="158">
        <v>-2350</v>
      </c>
      <c r="U16" s="158">
        <f>-1200-1000</f>
        <v>-2200</v>
      </c>
      <c r="V16" s="158">
        <v>-3540</v>
      </c>
      <c r="W16" s="158">
        <v>-1500</v>
      </c>
      <c r="X16" s="222">
        <f t="shared" si="3"/>
        <v>-108407.66</v>
      </c>
      <c r="Y16" s="51"/>
      <c r="Z16" s="51"/>
      <c r="AA16" s="223"/>
      <c r="AB16" s="10"/>
      <c r="AC16" s="10"/>
      <c r="AD16" s="10"/>
      <c r="AE16" s="10"/>
      <c r="AF16" s="10"/>
      <c r="AG16" s="10"/>
      <c r="AH16" s="10"/>
      <c r="AI16" s="10"/>
      <c r="AJ16" s="10"/>
      <c r="AK16" s="10"/>
    </row>
    <row r="17" spans="1:37" ht="15.75" customHeight="1" x14ac:dyDescent="0.2">
      <c r="A17" s="46" t="s">
        <v>171</v>
      </c>
      <c r="B17" s="158">
        <v>-5000</v>
      </c>
      <c r="C17" s="51"/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222">
        <f t="shared" si="3"/>
        <v>-5000</v>
      </c>
      <c r="Y17" s="51"/>
      <c r="Z17" s="51"/>
      <c r="AA17" s="223"/>
      <c r="AB17" s="10"/>
      <c r="AC17" s="10"/>
      <c r="AD17" s="10"/>
      <c r="AE17" s="10"/>
      <c r="AF17" s="10"/>
      <c r="AG17" s="10"/>
      <c r="AH17" s="10"/>
      <c r="AI17" s="10"/>
      <c r="AJ17" s="10"/>
      <c r="AK17" s="10"/>
    </row>
    <row r="18" spans="1:37" ht="15.75" customHeight="1" x14ac:dyDescent="0.2">
      <c r="A18" s="46" t="s">
        <v>172</v>
      </c>
      <c r="B18" s="158">
        <v>-59073</v>
      </c>
      <c r="C18" s="158">
        <v>-1900</v>
      </c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222">
        <f t="shared" si="3"/>
        <v>-60973</v>
      </c>
      <c r="Y18" s="51"/>
      <c r="Z18" s="51"/>
      <c r="AA18" s="223"/>
      <c r="AB18" s="10"/>
      <c r="AC18" s="10"/>
      <c r="AD18" s="10"/>
      <c r="AE18" s="10"/>
      <c r="AF18" s="10"/>
      <c r="AG18" s="10"/>
      <c r="AH18" s="10"/>
      <c r="AI18" s="10"/>
      <c r="AJ18" s="10"/>
      <c r="AK18" s="10"/>
    </row>
    <row r="19" spans="1:37" ht="15.75" customHeight="1" x14ac:dyDescent="0.2">
      <c r="A19" s="46" t="s">
        <v>173</v>
      </c>
      <c r="B19" s="51"/>
      <c r="C19" s="158">
        <f>-33040</f>
        <v>-33040</v>
      </c>
      <c r="D19" s="158">
        <f>-30000-12000-40000</f>
        <v>-82000</v>
      </c>
      <c r="E19" s="51"/>
      <c r="F19" s="158">
        <f>-8820-29000-89000-21000</f>
        <v>-147820</v>
      </c>
      <c r="G19" s="158">
        <f>-10150-12000-7522</f>
        <v>-29672</v>
      </c>
      <c r="H19" s="158">
        <f>-25560-11794-14309-12000</f>
        <v>-63663</v>
      </c>
      <c r="I19" s="158">
        <f>-12000-35116-105120</f>
        <v>-152236</v>
      </c>
      <c r="J19" s="158">
        <v>-12000</v>
      </c>
      <c r="K19" s="158">
        <f>-162062-12000-47100-22929-12000</f>
        <v>-256091</v>
      </c>
      <c r="L19" s="158">
        <f>-36000-230556</f>
        <v>-266556</v>
      </c>
      <c r="M19" s="158">
        <f>-256500-21900</f>
        <v>-278400</v>
      </c>
      <c r="N19" s="158">
        <v>-40000</v>
      </c>
      <c r="O19" s="51"/>
      <c r="P19" s="51"/>
      <c r="Q19" s="51"/>
      <c r="R19" s="158">
        <v>-71325</v>
      </c>
      <c r="S19" s="51"/>
      <c r="T19" s="158">
        <v>-61000</v>
      </c>
      <c r="U19" s="158">
        <v>-62000</v>
      </c>
      <c r="V19" s="158">
        <v>-11705</v>
      </c>
      <c r="W19" s="51"/>
      <c r="X19" s="222">
        <f t="shared" si="3"/>
        <v>-1567508</v>
      </c>
      <c r="Y19" s="51"/>
      <c r="Z19" s="51"/>
      <c r="AA19" s="223"/>
      <c r="AB19" s="10"/>
      <c r="AC19" s="10"/>
      <c r="AD19" s="10"/>
      <c r="AE19" s="10"/>
      <c r="AF19" s="10"/>
      <c r="AG19" s="10"/>
      <c r="AH19" s="10"/>
      <c r="AI19" s="10"/>
      <c r="AJ19" s="10"/>
      <c r="AK19" s="10"/>
    </row>
    <row r="20" spans="1:37" ht="21.75" customHeight="1" x14ac:dyDescent="0.2">
      <c r="A20" s="46" t="s">
        <v>174</v>
      </c>
      <c r="B20" s="51"/>
      <c r="C20" s="51"/>
      <c r="D20" s="158">
        <v>-50000</v>
      </c>
      <c r="E20" s="51"/>
      <c r="F20" s="158">
        <f>-8148-15000</f>
        <v>-23148</v>
      </c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222">
        <f t="shared" si="3"/>
        <v>-73148</v>
      </c>
      <c r="Y20" s="51"/>
      <c r="Z20" s="51"/>
      <c r="AA20" s="223"/>
      <c r="AB20" s="10"/>
      <c r="AC20" s="10"/>
      <c r="AD20" s="10"/>
      <c r="AE20" s="10"/>
      <c r="AF20" s="10"/>
      <c r="AG20" s="10"/>
      <c r="AH20" s="10"/>
      <c r="AI20" s="10"/>
      <c r="AJ20" s="10"/>
      <c r="AK20" s="10"/>
    </row>
    <row r="21" spans="1:37" ht="16.5" customHeight="1" x14ac:dyDescent="0.2">
      <c r="A21" s="46" t="s">
        <v>175</v>
      </c>
      <c r="B21" s="158"/>
      <c r="C21" s="158"/>
      <c r="D21" s="158"/>
      <c r="E21" s="158"/>
      <c r="F21" s="158">
        <v>-330000</v>
      </c>
      <c r="G21" s="158">
        <v>-80000</v>
      </c>
      <c r="H21" s="158"/>
      <c r="I21" s="158">
        <v>-239000</v>
      </c>
      <c r="J21" s="158"/>
      <c r="K21" s="158"/>
      <c r="L21" s="158">
        <v>-177003</v>
      </c>
      <c r="M21" s="158"/>
      <c r="N21" s="158"/>
      <c r="O21" s="158"/>
      <c r="P21" s="158"/>
      <c r="Q21" s="158">
        <v>-130000</v>
      </c>
      <c r="R21" s="158"/>
      <c r="S21" s="158">
        <v>-276485</v>
      </c>
      <c r="T21" s="158">
        <v>-14200</v>
      </c>
      <c r="U21" s="158">
        <f>-14200-66222</f>
        <v>-80422</v>
      </c>
      <c r="V21" s="158">
        <v>-16700</v>
      </c>
      <c r="W21" s="158"/>
      <c r="X21" s="222">
        <f t="shared" si="3"/>
        <v>-1343810</v>
      </c>
      <c r="Y21" s="158"/>
      <c r="Z21" s="158"/>
      <c r="AA21" s="223"/>
      <c r="AB21" s="10"/>
      <c r="AC21" s="10"/>
      <c r="AD21" s="10"/>
      <c r="AE21" s="10"/>
      <c r="AF21" s="10"/>
      <c r="AG21" s="10"/>
      <c r="AH21" s="10"/>
      <c r="AI21" s="10"/>
      <c r="AJ21" s="10"/>
      <c r="AK21" s="10"/>
    </row>
    <row r="22" spans="1:37" ht="16.5" customHeight="1" x14ac:dyDescent="0.2">
      <c r="A22" s="46" t="s">
        <v>176</v>
      </c>
      <c r="B22" s="224">
        <f>-21000-18886</f>
        <v>-39886</v>
      </c>
      <c r="C22" s="224">
        <v>-6000</v>
      </c>
      <c r="D22" s="224"/>
      <c r="E22" s="224">
        <v>-5000</v>
      </c>
      <c r="F22" s="224">
        <v>-5000</v>
      </c>
      <c r="G22" s="224">
        <v>-10000</v>
      </c>
      <c r="H22" s="224">
        <f>-20000-6000-474-279-6153-279-474</f>
        <v>-33659</v>
      </c>
      <c r="I22" s="224">
        <v>-450</v>
      </c>
      <c r="J22" s="224"/>
      <c r="K22" s="224">
        <f>-1474-624</f>
        <v>-2098</v>
      </c>
      <c r="L22" s="224">
        <f>-58712.5-8090</f>
        <v>-66802.5</v>
      </c>
      <c r="M22" s="224">
        <f>-9017-2000</f>
        <v>-11017</v>
      </c>
      <c r="N22" s="224"/>
      <c r="O22" s="224"/>
      <c r="P22" s="224">
        <v>-6577</v>
      </c>
      <c r="Q22" s="224">
        <f>-7000-18000</f>
        <v>-25000</v>
      </c>
      <c r="R22" s="224">
        <v>-22000</v>
      </c>
      <c r="S22" s="224"/>
      <c r="T22" s="224">
        <f>-11378-16800</f>
        <v>-28178</v>
      </c>
      <c r="U22" s="224">
        <v>-18600</v>
      </c>
      <c r="V22" s="224"/>
      <c r="W22" s="224">
        <v>60000</v>
      </c>
      <c r="X22" s="222">
        <f t="shared" si="3"/>
        <v>-220267.5</v>
      </c>
      <c r="Y22" s="224"/>
      <c r="Z22" s="224"/>
      <c r="AA22" s="223"/>
      <c r="AB22" s="10"/>
      <c r="AC22" s="10"/>
      <c r="AD22" s="10"/>
      <c r="AE22" s="10"/>
      <c r="AF22" s="10"/>
      <c r="AG22" s="10"/>
      <c r="AH22" s="10"/>
      <c r="AI22" s="10"/>
      <c r="AJ22" s="10"/>
      <c r="AK22" s="10"/>
    </row>
    <row r="23" spans="1:37" ht="15.75" customHeight="1" x14ac:dyDescent="0.2">
      <c r="A23" s="46" t="s">
        <v>177</v>
      </c>
      <c r="B23" s="158">
        <v>-10000</v>
      </c>
      <c r="C23" s="51"/>
      <c r="D23" s="51"/>
      <c r="E23" s="51"/>
      <c r="F23" s="158">
        <v>-25000</v>
      </c>
      <c r="G23" s="51"/>
      <c r="H23" s="158">
        <f>-25000-49900</f>
        <v>-74900</v>
      </c>
      <c r="I23" s="158">
        <v>-14000</v>
      </c>
      <c r="J23" s="158">
        <v>-28000</v>
      </c>
      <c r="K23" s="158">
        <v>-25000</v>
      </c>
      <c r="L23" s="51"/>
      <c r="M23" s="51"/>
      <c r="N23" s="51"/>
      <c r="O23" s="51"/>
      <c r="P23" s="51"/>
      <c r="Q23" s="158">
        <v>-26000</v>
      </c>
      <c r="R23" s="158">
        <v>-5700</v>
      </c>
      <c r="S23" s="51"/>
      <c r="T23" s="51"/>
      <c r="U23" s="51"/>
      <c r="V23" s="51"/>
      <c r="W23" s="51"/>
      <c r="X23" s="222">
        <f t="shared" si="3"/>
        <v>-208600</v>
      </c>
      <c r="Y23" s="51"/>
      <c r="Z23" s="51"/>
      <c r="AA23" s="223"/>
      <c r="AB23" s="10"/>
      <c r="AC23" s="10"/>
      <c r="AD23" s="10"/>
      <c r="AE23" s="10"/>
      <c r="AF23" s="10"/>
      <c r="AG23" s="10"/>
      <c r="AH23" s="10"/>
      <c r="AI23" s="10"/>
      <c r="AJ23" s="10"/>
      <c r="AK23" s="10"/>
    </row>
    <row r="24" spans="1:37" ht="15.75" customHeight="1" x14ac:dyDescent="0.2">
      <c r="A24" s="46" t="s">
        <v>178</v>
      </c>
      <c r="B24" s="22"/>
      <c r="C24" s="224">
        <v>-27029</v>
      </c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2">
        <f t="shared" si="3"/>
        <v>-27029</v>
      </c>
      <c r="Y24" s="22"/>
      <c r="Z24" s="22"/>
      <c r="AA24" s="223"/>
      <c r="AB24" s="10"/>
      <c r="AC24" s="10"/>
      <c r="AD24" s="10"/>
      <c r="AE24" s="10"/>
      <c r="AF24" s="10"/>
      <c r="AG24" s="10"/>
      <c r="AH24" s="10"/>
      <c r="AI24" s="10"/>
      <c r="AJ24" s="10"/>
      <c r="AK24" s="10"/>
    </row>
    <row r="25" spans="1:37" ht="15.75" customHeight="1" x14ac:dyDescent="0.2">
      <c r="A25" s="46" t="s">
        <v>179</v>
      </c>
      <c r="B25" s="51"/>
      <c r="C25" s="51"/>
      <c r="D25" s="158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158">
        <v>-88133</v>
      </c>
      <c r="Q25" s="158">
        <v>-40000</v>
      </c>
      <c r="R25" s="51"/>
      <c r="S25" s="158">
        <v>-40000</v>
      </c>
      <c r="T25" s="158">
        <v>-40000</v>
      </c>
      <c r="U25" s="158">
        <v>-40000</v>
      </c>
      <c r="V25" s="158">
        <v>-40000</v>
      </c>
      <c r="W25" s="51"/>
      <c r="X25" s="222">
        <f t="shared" si="3"/>
        <v>-288133</v>
      </c>
      <c r="Y25" s="51"/>
      <c r="Z25" s="51"/>
      <c r="AA25" s="223"/>
      <c r="AB25" s="10"/>
      <c r="AC25" s="10"/>
      <c r="AD25" s="10"/>
      <c r="AE25" s="10"/>
      <c r="AF25" s="10"/>
      <c r="AG25" s="10"/>
      <c r="AH25" s="10"/>
      <c r="AI25" s="10"/>
      <c r="AJ25" s="10"/>
      <c r="AK25" s="10"/>
    </row>
    <row r="26" spans="1:37" ht="15.75" customHeight="1" x14ac:dyDescent="0.2">
      <c r="A26" s="46" t="s">
        <v>180</v>
      </c>
      <c r="B26" s="51"/>
      <c r="C26" s="51"/>
      <c r="D26" s="158">
        <v>3085.31</v>
      </c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222">
        <f t="shared" si="3"/>
        <v>3085.31</v>
      </c>
      <c r="Y26" s="51"/>
      <c r="Z26" s="51"/>
      <c r="AA26" s="223"/>
      <c r="AB26" s="10"/>
      <c r="AC26" s="10"/>
      <c r="AD26" s="10"/>
      <c r="AE26" s="10"/>
      <c r="AF26" s="10"/>
      <c r="AG26" s="10"/>
      <c r="AH26" s="10"/>
      <c r="AI26" s="10"/>
      <c r="AJ26" s="10"/>
      <c r="AK26" s="10"/>
    </row>
    <row r="27" spans="1:37" ht="27" customHeight="1" x14ac:dyDescent="0.2">
      <c r="A27" s="75" t="s">
        <v>98</v>
      </c>
      <c r="B27" s="77">
        <f t="shared" ref="B27:W27" si="4">SUM(B28:B34)</f>
        <v>380000</v>
      </c>
      <c r="C27" s="77">
        <f t="shared" si="4"/>
        <v>100000</v>
      </c>
      <c r="D27" s="77">
        <f t="shared" si="4"/>
        <v>300000</v>
      </c>
      <c r="E27" s="77">
        <f t="shared" si="4"/>
        <v>0</v>
      </c>
      <c r="F27" s="77">
        <f t="shared" si="4"/>
        <v>200000</v>
      </c>
      <c r="G27" s="77">
        <f t="shared" si="4"/>
        <v>250000</v>
      </c>
      <c r="H27" s="77">
        <f t="shared" si="4"/>
        <v>500000</v>
      </c>
      <c r="I27" s="77">
        <f t="shared" si="4"/>
        <v>0</v>
      </c>
      <c r="J27" s="77">
        <f t="shared" si="4"/>
        <v>40000</v>
      </c>
      <c r="K27" s="77">
        <f t="shared" si="4"/>
        <v>422500</v>
      </c>
      <c r="L27" s="77">
        <f t="shared" si="4"/>
        <v>2515000</v>
      </c>
      <c r="M27" s="77">
        <f t="shared" si="4"/>
        <v>800000</v>
      </c>
      <c r="N27" s="77">
        <f t="shared" si="4"/>
        <v>60000</v>
      </c>
      <c r="O27" s="77">
        <f t="shared" si="4"/>
        <v>0</v>
      </c>
      <c r="P27" s="77">
        <f t="shared" si="4"/>
        <v>-700000</v>
      </c>
      <c r="Q27" s="77">
        <f t="shared" si="4"/>
        <v>-700000</v>
      </c>
      <c r="R27" s="77">
        <f t="shared" si="4"/>
        <v>-86000</v>
      </c>
      <c r="S27" s="77">
        <f t="shared" si="4"/>
        <v>0</v>
      </c>
      <c r="T27" s="77">
        <f t="shared" si="4"/>
        <v>0</v>
      </c>
      <c r="U27" s="77">
        <f t="shared" si="4"/>
        <v>0</v>
      </c>
      <c r="V27" s="77">
        <f t="shared" si="4"/>
        <v>-40000</v>
      </c>
      <c r="W27" s="77">
        <f t="shared" si="4"/>
        <v>0</v>
      </c>
      <c r="X27" s="77">
        <f t="shared" si="3"/>
        <v>4041500</v>
      </c>
      <c r="Y27" s="72"/>
      <c r="Z27" s="72"/>
      <c r="AA27" s="72"/>
      <c r="AB27" s="9"/>
      <c r="AC27" s="9"/>
      <c r="AD27" s="9"/>
      <c r="AE27" s="9"/>
      <c r="AF27" s="9"/>
      <c r="AG27" s="9"/>
      <c r="AH27" s="9"/>
      <c r="AI27" s="9"/>
      <c r="AJ27" s="9"/>
      <c r="AK27" s="9"/>
    </row>
    <row r="28" spans="1:37" ht="15.75" customHeight="1" x14ac:dyDescent="0.2">
      <c r="A28" s="49" t="s">
        <v>181</v>
      </c>
      <c r="B28" s="158"/>
      <c r="C28" s="158"/>
      <c r="D28" s="158"/>
      <c r="E28" s="51"/>
      <c r="F28" s="158"/>
      <c r="G28" s="158"/>
      <c r="H28" s="158"/>
      <c r="I28" s="51"/>
      <c r="J28" s="51"/>
      <c r="K28" s="158"/>
      <c r="L28" s="158">
        <v>500000</v>
      </c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226">
        <f t="shared" si="3"/>
        <v>500000</v>
      </c>
      <c r="Y28" s="51"/>
      <c r="Z28" s="51"/>
      <c r="AA28" s="223"/>
      <c r="AB28" s="9"/>
      <c r="AC28" s="9"/>
      <c r="AD28" s="9"/>
      <c r="AE28" s="9"/>
      <c r="AF28" s="9"/>
      <c r="AG28" s="9"/>
      <c r="AH28" s="9"/>
      <c r="AI28" s="9"/>
      <c r="AJ28" s="9"/>
      <c r="AK28" s="9"/>
    </row>
    <row r="29" spans="1:37" ht="15.75" customHeight="1" x14ac:dyDescent="0.2">
      <c r="A29" s="49" t="s">
        <v>182</v>
      </c>
      <c r="B29" s="227">
        <f>350000+30000</f>
        <v>380000</v>
      </c>
      <c r="C29" s="227">
        <v>100000</v>
      </c>
      <c r="D29" s="227">
        <v>300000</v>
      </c>
      <c r="E29" s="154"/>
      <c r="F29" s="227">
        <v>500000</v>
      </c>
      <c r="G29" s="227">
        <v>450000</v>
      </c>
      <c r="H29" s="227">
        <v>1000000</v>
      </c>
      <c r="I29" s="154"/>
      <c r="J29" s="227">
        <v>40000</v>
      </c>
      <c r="K29" s="227">
        <v>1025000</v>
      </c>
      <c r="L29" s="227">
        <v>2015000</v>
      </c>
      <c r="M29" s="227">
        <v>800000</v>
      </c>
      <c r="N29" s="227">
        <v>60000</v>
      </c>
      <c r="O29" s="154"/>
      <c r="P29" s="154"/>
      <c r="Q29" s="154"/>
      <c r="R29" s="154"/>
      <c r="S29" s="154"/>
      <c r="T29" s="154"/>
      <c r="U29" s="154"/>
      <c r="V29" s="154"/>
      <c r="W29" s="154"/>
      <c r="X29" s="226">
        <f t="shared" si="3"/>
        <v>6670000</v>
      </c>
      <c r="Y29" s="51"/>
      <c r="Z29" s="51"/>
      <c r="AA29" s="223"/>
      <c r="AB29" s="9"/>
      <c r="AC29" s="9"/>
      <c r="AD29" s="9"/>
      <c r="AE29" s="9"/>
      <c r="AF29" s="9"/>
      <c r="AG29" s="9"/>
      <c r="AH29" s="9"/>
      <c r="AI29" s="9"/>
      <c r="AJ29" s="9"/>
      <c r="AK29" s="9"/>
    </row>
    <row r="30" spans="1:37" ht="15.75" customHeight="1" x14ac:dyDescent="0.2">
      <c r="A30" s="49" t="s">
        <v>183</v>
      </c>
      <c r="B30" s="51"/>
      <c r="C30" s="51"/>
      <c r="D30" s="51"/>
      <c r="E30" s="51"/>
      <c r="F30" s="158">
        <v>-300000</v>
      </c>
      <c r="G30" s="158">
        <v>-200000</v>
      </c>
      <c r="H30" s="158">
        <v>-500000</v>
      </c>
      <c r="I30" s="51"/>
      <c r="J30" s="51"/>
      <c r="K30" s="158">
        <v>-602500</v>
      </c>
      <c r="L30" s="51"/>
      <c r="M30" s="51"/>
      <c r="N30" s="51"/>
      <c r="O30" s="51"/>
      <c r="P30" s="158">
        <v>-400000</v>
      </c>
      <c r="Q30" s="158">
        <v>-400000</v>
      </c>
      <c r="R30" s="158">
        <v>-86000</v>
      </c>
      <c r="S30" s="51"/>
      <c r="T30" s="51"/>
      <c r="U30" s="51"/>
      <c r="V30" s="158">
        <v>-40000</v>
      </c>
      <c r="W30" s="51"/>
      <c r="X30" s="226">
        <f t="shared" si="3"/>
        <v>-2528500</v>
      </c>
      <c r="Y30" s="51"/>
      <c r="Z30" s="51"/>
      <c r="AA30" s="223"/>
      <c r="AB30" s="9"/>
      <c r="AC30" s="9"/>
      <c r="AD30" s="9"/>
      <c r="AE30" s="9"/>
      <c r="AF30" s="9"/>
      <c r="AG30" s="9"/>
      <c r="AH30" s="9"/>
      <c r="AI30" s="9"/>
      <c r="AJ30" s="9"/>
      <c r="AK30" s="9"/>
    </row>
    <row r="31" spans="1:37" ht="15.75" customHeight="1" x14ac:dyDescent="0.2">
      <c r="A31" s="49" t="s">
        <v>184</v>
      </c>
      <c r="B31" s="51"/>
      <c r="C31" s="51"/>
      <c r="D31" s="51"/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158">
        <v>-300000</v>
      </c>
      <c r="Q31" s="158">
        <v>-300000</v>
      </c>
      <c r="R31" s="51"/>
      <c r="S31" s="51"/>
      <c r="T31" s="51"/>
      <c r="U31" s="51"/>
      <c r="V31" s="51"/>
      <c r="W31" s="51"/>
      <c r="X31" s="226">
        <f t="shared" si="3"/>
        <v>-600000</v>
      </c>
      <c r="Y31" s="51"/>
      <c r="Z31" s="51"/>
      <c r="AA31" s="223"/>
      <c r="AB31" s="9"/>
      <c r="AC31" s="9"/>
      <c r="AD31" s="9"/>
      <c r="AE31" s="9"/>
      <c r="AF31" s="9"/>
      <c r="AG31" s="9"/>
      <c r="AH31" s="9"/>
      <c r="AI31" s="9"/>
      <c r="AJ31" s="9"/>
      <c r="AK31" s="9"/>
    </row>
    <row r="32" spans="1:37" ht="15.75" customHeight="1" x14ac:dyDescent="0.2">
      <c r="A32" s="53"/>
      <c r="B32" s="51"/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226">
        <f t="shared" si="3"/>
        <v>0</v>
      </c>
      <c r="Y32" s="51"/>
      <c r="Z32" s="51"/>
      <c r="AA32" s="223"/>
      <c r="AB32" s="9"/>
      <c r="AC32" s="9"/>
      <c r="AD32" s="9"/>
      <c r="AE32" s="9"/>
      <c r="AF32" s="9"/>
      <c r="AG32" s="9"/>
      <c r="AH32" s="9"/>
      <c r="AI32" s="9"/>
      <c r="AJ32" s="9"/>
      <c r="AK32" s="9"/>
    </row>
    <row r="33" spans="1:37" ht="17.25" customHeight="1" x14ac:dyDescent="0.2">
      <c r="A33" s="228"/>
      <c r="B33" s="51"/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226">
        <f t="shared" si="3"/>
        <v>0</v>
      </c>
      <c r="Y33" s="51"/>
      <c r="Z33" s="51"/>
      <c r="AA33" s="223"/>
      <c r="AB33" s="9"/>
      <c r="AC33" s="9"/>
      <c r="AD33" s="9"/>
      <c r="AE33" s="9"/>
      <c r="AF33" s="9"/>
      <c r="AG33" s="9"/>
      <c r="AH33" s="9"/>
      <c r="AI33" s="9"/>
      <c r="AJ33" s="9"/>
      <c r="AK33" s="9"/>
    </row>
    <row r="34" spans="1:37" ht="21.75" customHeight="1" x14ac:dyDescent="0.2">
      <c r="A34" s="228"/>
      <c r="B34" s="51"/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226">
        <f t="shared" si="3"/>
        <v>0</v>
      </c>
      <c r="Y34" s="51"/>
      <c r="Z34" s="51"/>
      <c r="AA34" s="223"/>
      <c r="AB34" s="10"/>
      <c r="AC34" s="10"/>
      <c r="AD34" s="10"/>
      <c r="AE34" s="10"/>
      <c r="AF34" s="10"/>
      <c r="AG34" s="10"/>
      <c r="AH34" s="10"/>
      <c r="AI34" s="10"/>
      <c r="AJ34" s="10"/>
      <c r="AK34" s="10"/>
    </row>
    <row r="35" spans="1:37" ht="15.75" customHeight="1" x14ac:dyDescent="0.2">
      <c r="A35" s="75" t="s">
        <v>91</v>
      </c>
      <c r="B35" s="77">
        <f t="shared" ref="B35:W35" si="5">SUM(B38:B39)</f>
        <v>0</v>
      </c>
      <c r="C35" s="77">
        <f t="shared" si="5"/>
        <v>0</v>
      </c>
      <c r="D35" s="77">
        <f t="shared" si="5"/>
        <v>0</v>
      </c>
      <c r="E35" s="77">
        <f t="shared" si="5"/>
        <v>0</v>
      </c>
      <c r="F35" s="77">
        <f t="shared" si="5"/>
        <v>0</v>
      </c>
      <c r="G35" s="77">
        <f t="shared" si="5"/>
        <v>0</v>
      </c>
      <c r="H35" s="77">
        <f t="shared" si="5"/>
        <v>0</v>
      </c>
      <c r="I35" s="77">
        <f t="shared" si="5"/>
        <v>0</v>
      </c>
      <c r="J35" s="77">
        <f t="shared" si="5"/>
        <v>0</v>
      </c>
      <c r="K35" s="77">
        <f t="shared" si="5"/>
        <v>0</v>
      </c>
      <c r="L35" s="77">
        <f t="shared" si="5"/>
        <v>0</v>
      </c>
      <c r="M35" s="77">
        <f t="shared" si="5"/>
        <v>0</v>
      </c>
      <c r="N35" s="77">
        <f t="shared" si="5"/>
        <v>0</v>
      </c>
      <c r="O35" s="77">
        <f t="shared" si="5"/>
        <v>0</v>
      </c>
      <c r="P35" s="77">
        <f t="shared" si="5"/>
        <v>0</v>
      </c>
      <c r="Q35" s="77">
        <f t="shared" si="5"/>
        <v>0</v>
      </c>
      <c r="R35" s="77">
        <f t="shared" si="5"/>
        <v>0</v>
      </c>
      <c r="S35" s="77">
        <f t="shared" si="5"/>
        <v>0</v>
      </c>
      <c r="T35" s="77">
        <f t="shared" si="5"/>
        <v>0</v>
      </c>
      <c r="U35" s="77">
        <f t="shared" si="5"/>
        <v>0</v>
      </c>
      <c r="V35" s="77">
        <f t="shared" si="5"/>
        <v>0</v>
      </c>
      <c r="W35" s="77">
        <f t="shared" si="5"/>
        <v>0</v>
      </c>
      <c r="X35" s="77">
        <f t="shared" si="3"/>
        <v>0</v>
      </c>
      <c r="Y35" s="72"/>
      <c r="Z35" s="72"/>
      <c r="AA35" s="72"/>
      <c r="AB35" s="9"/>
      <c r="AC35" s="9"/>
      <c r="AD35" s="9"/>
      <c r="AE35" s="9"/>
      <c r="AF35" s="9"/>
      <c r="AG35" s="9"/>
      <c r="AH35" s="9"/>
      <c r="AI35" s="9"/>
      <c r="AJ35" s="9"/>
      <c r="AK35" s="9"/>
    </row>
    <row r="36" spans="1:37" ht="15.75" customHeight="1" x14ac:dyDescent="0.2">
      <c r="A36" s="49" t="s">
        <v>185</v>
      </c>
      <c r="B36" s="224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9">
        <f t="shared" si="3"/>
        <v>0</v>
      </c>
      <c r="Y36" s="22"/>
      <c r="Z36" s="22"/>
      <c r="AA36" s="223"/>
      <c r="AB36" s="10"/>
      <c r="AC36" s="10"/>
      <c r="AD36" s="10"/>
      <c r="AE36" s="10"/>
      <c r="AF36" s="10"/>
      <c r="AG36" s="10"/>
      <c r="AH36" s="10"/>
      <c r="AI36" s="10"/>
      <c r="AJ36" s="10"/>
      <c r="AK36" s="10"/>
    </row>
    <row r="37" spans="1:37" ht="15.75" customHeight="1" x14ac:dyDescent="0.2">
      <c r="A37" s="49" t="s">
        <v>184</v>
      </c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158">
        <v>-300000</v>
      </c>
      <c r="Q37" s="158">
        <v>-300000</v>
      </c>
      <c r="R37" s="51"/>
      <c r="S37" s="51"/>
      <c r="T37" s="51"/>
      <c r="U37" s="51"/>
      <c r="V37" s="51"/>
      <c r="W37" s="51"/>
      <c r="X37" s="229">
        <f t="shared" si="3"/>
        <v>-600000</v>
      </c>
      <c r="Y37" s="51"/>
      <c r="Z37" s="51"/>
      <c r="AA37" s="223"/>
      <c r="AB37" s="10"/>
      <c r="AC37" s="10"/>
      <c r="AD37" s="10"/>
      <c r="AE37" s="10"/>
      <c r="AF37" s="10"/>
      <c r="AG37" s="10"/>
      <c r="AH37" s="10"/>
      <c r="AI37" s="10"/>
      <c r="AJ37" s="10"/>
      <c r="AK37" s="10"/>
    </row>
    <row r="38" spans="1:37" ht="15.75" customHeight="1" x14ac:dyDescent="0.2">
      <c r="A38" s="46"/>
      <c r="B38" s="224"/>
      <c r="C38" s="224"/>
      <c r="D38" s="224"/>
      <c r="E38" s="224"/>
      <c r="F38" s="224"/>
      <c r="G38" s="224"/>
      <c r="H38" s="224"/>
      <c r="I38" s="224"/>
      <c r="J38" s="224"/>
      <c r="K38" s="224"/>
      <c r="L38" s="224"/>
      <c r="M38" s="224"/>
      <c r="N38" s="224"/>
      <c r="O38" s="224"/>
      <c r="P38" s="224"/>
      <c r="Q38" s="224"/>
      <c r="R38" s="224"/>
      <c r="S38" s="224"/>
      <c r="T38" s="224"/>
      <c r="U38" s="224"/>
      <c r="V38" s="224"/>
      <c r="W38" s="224"/>
      <c r="X38" s="229">
        <f t="shared" si="3"/>
        <v>0</v>
      </c>
      <c r="Y38" s="224"/>
      <c r="Z38" s="224"/>
      <c r="AA38" s="223"/>
      <c r="AB38" s="10"/>
      <c r="AC38" s="10"/>
      <c r="AD38" s="10"/>
      <c r="AE38" s="10"/>
      <c r="AF38" s="10"/>
      <c r="AG38" s="10"/>
      <c r="AH38" s="10"/>
      <c r="AI38" s="10"/>
      <c r="AJ38" s="10"/>
      <c r="AK38" s="10"/>
    </row>
    <row r="39" spans="1:37" ht="15.75" customHeight="1" x14ac:dyDescent="0.2">
      <c r="A39" s="49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229">
        <f t="shared" si="3"/>
        <v>0</v>
      </c>
      <c r="Y39" s="51"/>
      <c r="Z39" s="51"/>
      <c r="AA39" s="223"/>
      <c r="AB39" s="10"/>
      <c r="AC39" s="10"/>
      <c r="AD39" s="10"/>
      <c r="AE39" s="10"/>
      <c r="AF39" s="10"/>
      <c r="AG39" s="10"/>
      <c r="AH39" s="10"/>
      <c r="AI39" s="10"/>
      <c r="AJ39" s="10"/>
      <c r="AK39" s="10"/>
    </row>
    <row r="40" spans="1:37" ht="15.75" customHeight="1" x14ac:dyDescent="0.2">
      <c r="A40" s="49"/>
      <c r="B40" s="51"/>
      <c r="C40" s="51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229">
        <f t="shared" si="3"/>
        <v>0</v>
      </c>
      <c r="Y40" s="51"/>
      <c r="Z40" s="51"/>
      <c r="AA40" s="223"/>
      <c r="AB40" s="10"/>
      <c r="AC40" s="10"/>
      <c r="AD40" s="10"/>
      <c r="AE40" s="10"/>
      <c r="AF40" s="10"/>
      <c r="AG40" s="10"/>
      <c r="AH40" s="10"/>
      <c r="AI40" s="10"/>
      <c r="AJ40" s="10"/>
      <c r="AK40" s="10"/>
    </row>
    <row r="41" spans="1:37" ht="15.75" customHeight="1" x14ac:dyDescent="0.2">
      <c r="A41" s="230" t="s">
        <v>129</v>
      </c>
      <c r="B41" s="154">
        <f t="shared" ref="B41:U41" si="6">B5+B6+B27+B35</f>
        <v>29766</v>
      </c>
      <c r="C41" s="154">
        <f t="shared" si="6"/>
        <v>33001</v>
      </c>
      <c r="D41" s="154">
        <f t="shared" si="6"/>
        <v>261953.08000000002</v>
      </c>
      <c r="E41" s="154">
        <f t="shared" si="6"/>
        <v>4604.6100000000442</v>
      </c>
      <c r="F41" s="154">
        <f t="shared" si="6"/>
        <v>-4215.8400000000256</v>
      </c>
      <c r="G41" s="154">
        <f t="shared" si="6"/>
        <v>1164554.69</v>
      </c>
      <c r="H41" s="154">
        <f t="shared" si="6"/>
        <v>533680.84999999986</v>
      </c>
      <c r="I41" s="154">
        <f t="shared" si="6"/>
        <v>311062.84999999986</v>
      </c>
      <c r="J41" s="154">
        <f t="shared" si="6"/>
        <v>536245.84999999986</v>
      </c>
      <c r="K41" s="154">
        <f t="shared" si="6"/>
        <v>314115.84999999986</v>
      </c>
      <c r="L41" s="154">
        <f t="shared" si="6"/>
        <v>413639.34999999963</v>
      </c>
      <c r="M41" s="154">
        <f t="shared" si="6"/>
        <v>165434.68999999959</v>
      </c>
      <c r="N41" s="154">
        <f t="shared" si="6"/>
        <v>72550.689999999595</v>
      </c>
      <c r="O41" s="154">
        <f t="shared" si="6"/>
        <v>545895.68999999959</v>
      </c>
      <c r="P41" s="154">
        <f t="shared" si="6"/>
        <v>459770.68999999948</v>
      </c>
      <c r="Q41" s="154">
        <f t="shared" si="6"/>
        <v>557146.68999999948</v>
      </c>
      <c r="R41" s="154">
        <f t="shared" si="6"/>
        <v>664414.68999999948</v>
      </c>
      <c r="S41" s="154">
        <f t="shared" si="6"/>
        <v>808395.68999999948</v>
      </c>
      <c r="T41" s="154">
        <f t="shared" si="6"/>
        <v>597094.68999999948</v>
      </c>
      <c r="U41" s="154">
        <f t="shared" si="6"/>
        <v>669106.68999999948</v>
      </c>
      <c r="V41" s="227">
        <v>453000</v>
      </c>
      <c r="W41" s="227">
        <v>200000</v>
      </c>
      <c r="X41" s="226"/>
      <c r="Y41" s="154"/>
      <c r="Z41" s="154"/>
      <c r="AA41" s="231"/>
      <c r="AB41" s="87"/>
      <c r="AC41" s="87"/>
      <c r="AD41" s="87"/>
      <c r="AE41" s="87"/>
      <c r="AF41" s="87"/>
      <c r="AG41" s="87"/>
      <c r="AH41" s="87"/>
      <c r="AI41" s="87"/>
      <c r="AJ41" s="87"/>
      <c r="AK41" s="87"/>
    </row>
    <row r="42" spans="1:37" ht="15.75" customHeight="1" x14ac:dyDescent="0.2">
      <c r="A42" s="49"/>
      <c r="B42" s="51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154"/>
      <c r="Y42" s="51"/>
      <c r="Z42" s="51"/>
      <c r="AA42" s="223"/>
      <c r="AB42" s="10"/>
      <c r="AC42" s="10"/>
      <c r="AD42" s="10"/>
      <c r="AE42" s="10"/>
      <c r="AF42" s="10"/>
      <c r="AG42" s="10"/>
      <c r="AH42" s="10"/>
      <c r="AI42" s="10"/>
      <c r="AJ42" s="10"/>
      <c r="AK42" s="10"/>
    </row>
    <row r="43" spans="1:37" ht="15.75" customHeight="1" x14ac:dyDescent="0.2">
      <c r="A43" s="53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154"/>
      <c r="Y43" s="51"/>
      <c r="Z43" s="51"/>
      <c r="AA43" s="223"/>
      <c r="AB43" s="10"/>
      <c r="AC43" s="10"/>
      <c r="AD43" s="10"/>
      <c r="AE43" s="10"/>
      <c r="AF43" s="10"/>
      <c r="AG43" s="10"/>
      <c r="AH43" s="10"/>
      <c r="AI43" s="10"/>
      <c r="AJ43" s="10"/>
      <c r="AK43" s="10"/>
    </row>
    <row r="44" spans="1:37" ht="15.75" customHeight="1" x14ac:dyDescent="0.2">
      <c r="A44" s="53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154"/>
      <c r="Y44" s="51"/>
      <c r="Z44" s="51"/>
      <c r="AA44" s="223"/>
      <c r="AB44" s="10"/>
      <c r="AC44" s="10"/>
      <c r="AD44" s="10"/>
      <c r="AE44" s="10"/>
      <c r="AF44" s="10"/>
      <c r="AG44" s="10"/>
      <c r="AH44" s="10"/>
      <c r="AI44" s="10"/>
      <c r="AJ44" s="10"/>
      <c r="AK44" s="10"/>
    </row>
    <row r="45" spans="1:37" ht="15.75" customHeight="1" x14ac:dyDescent="0.2">
      <c r="A45" s="228"/>
      <c r="B45" s="491" t="s">
        <v>186</v>
      </c>
      <c r="C45" s="477"/>
      <c r="D45" s="477"/>
      <c r="E45" s="477"/>
      <c r="F45" s="477"/>
      <c r="G45" s="51"/>
      <c r="H45" s="51"/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154"/>
      <c r="Y45" s="51"/>
      <c r="Z45" s="51"/>
      <c r="AA45" s="223"/>
      <c r="AB45" s="10"/>
      <c r="AC45" s="10"/>
      <c r="AD45" s="10"/>
      <c r="AE45" s="10"/>
      <c r="AF45" s="10"/>
      <c r="AG45" s="10"/>
      <c r="AH45" s="10"/>
      <c r="AI45" s="10"/>
      <c r="AJ45" s="10"/>
      <c r="AK45" s="10"/>
    </row>
    <row r="46" spans="1:37" ht="15.75" customHeight="1" x14ac:dyDescent="0.2">
      <c r="A46" s="228"/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154"/>
      <c r="Y46" s="51"/>
      <c r="Z46" s="51"/>
      <c r="AA46" s="223"/>
      <c r="AB46" s="10"/>
      <c r="AC46" s="10"/>
      <c r="AD46" s="10"/>
      <c r="AE46" s="10"/>
      <c r="AF46" s="10"/>
      <c r="AG46" s="10"/>
      <c r="AH46" s="10"/>
      <c r="AI46" s="10"/>
      <c r="AJ46" s="10"/>
      <c r="AK46" s="10"/>
    </row>
    <row r="47" spans="1:37" ht="45.75" customHeight="1" x14ac:dyDescent="0.2">
      <c r="A47" s="186"/>
      <c r="B47" s="232" t="s">
        <v>187</v>
      </c>
      <c r="C47" s="232" t="s">
        <v>188</v>
      </c>
      <c r="D47" s="232" t="s">
        <v>189</v>
      </c>
      <c r="E47" s="232" t="s">
        <v>190</v>
      </c>
      <c r="F47" s="232" t="s">
        <v>191</v>
      </c>
      <c r="G47" s="232" t="s">
        <v>192</v>
      </c>
      <c r="H47" s="232" t="s">
        <v>193</v>
      </c>
      <c r="I47" s="232" t="s">
        <v>194</v>
      </c>
      <c r="J47" s="232" t="s">
        <v>195</v>
      </c>
      <c r="K47" s="233" t="s">
        <v>196</v>
      </c>
      <c r="L47" s="233" t="s">
        <v>197</v>
      </c>
      <c r="M47" s="233" t="s">
        <v>198</v>
      </c>
      <c r="N47" s="232" t="s">
        <v>199</v>
      </c>
      <c r="O47" s="232" t="s">
        <v>200</v>
      </c>
      <c r="P47" s="232" t="s">
        <v>201</v>
      </c>
      <c r="Q47" s="232" t="s">
        <v>202</v>
      </c>
      <c r="R47" s="233" t="s">
        <v>203</v>
      </c>
      <c r="S47" s="232" t="s">
        <v>204</v>
      </c>
      <c r="T47" s="232" t="s">
        <v>205</v>
      </c>
      <c r="U47" s="187"/>
      <c r="V47" s="187"/>
      <c r="W47" s="187"/>
      <c r="X47" s="187"/>
      <c r="Y47" s="187"/>
      <c r="Z47" s="187"/>
      <c r="AA47" s="234"/>
      <c r="AB47" s="235"/>
      <c r="AC47" s="235"/>
      <c r="AD47" s="235"/>
      <c r="AE47" s="235"/>
      <c r="AF47" s="235"/>
      <c r="AG47" s="235"/>
      <c r="AH47" s="235"/>
      <c r="AI47" s="235"/>
      <c r="AJ47" s="235"/>
      <c r="AK47" s="235"/>
    </row>
    <row r="48" spans="1:37" ht="12.75" x14ac:dyDescent="0.2">
      <c r="A48" s="214"/>
      <c r="B48" s="236">
        <v>2024.2025000000001</v>
      </c>
      <c r="C48" s="237">
        <v>34070850</v>
      </c>
      <c r="D48" s="237">
        <v>20766</v>
      </c>
      <c r="E48" s="237">
        <v>14746</v>
      </c>
      <c r="F48" s="237">
        <v>31893760</v>
      </c>
      <c r="G48" s="237">
        <v>19544</v>
      </c>
      <c r="H48" s="237">
        <v>2.75</v>
      </c>
      <c r="I48" s="238">
        <v>1</v>
      </c>
      <c r="J48" s="237">
        <v>159</v>
      </c>
      <c r="K48" s="239">
        <v>23248931</v>
      </c>
      <c r="L48" s="240">
        <v>1489238</v>
      </c>
      <c r="M48" s="240">
        <v>241842</v>
      </c>
      <c r="N48" s="237">
        <v>11390</v>
      </c>
      <c r="O48" s="237">
        <v>0</v>
      </c>
      <c r="P48" s="237">
        <v>3741</v>
      </c>
      <c r="Q48" s="237">
        <v>24637</v>
      </c>
      <c r="R48" s="240">
        <v>180036</v>
      </c>
      <c r="S48" s="237">
        <v>21354803</v>
      </c>
      <c r="T48" s="241" t="s">
        <v>206</v>
      </c>
      <c r="U48" s="214"/>
      <c r="V48" s="214"/>
      <c r="W48" s="214"/>
      <c r="X48" s="242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</row>
    <row r="49" spans="1:37" ht="12.75" x14ac:dyDescent="0.2">
      <c r="A49" s="214"/>
      <c r="B49" s="214"/>
      <c r="C49" s="214"/>
      <c r="D49" s="214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42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</row>
    <row r="50" spans="1:37" ht="12.75" x14ac:dyDescent="0.2">
      <c r="A50" s="214"/>
      <c r="X50" s="213"/>
      <c r="Y50" s="214"/>
      <c r="Z50" s="214"/>
      <c r="AA50" s="214"/>
    </row>
    <row r="51" spans="1:37" ht="12.75" x14ac:dyDescent="0.2">
      <c r="A51" s="214"/>
      <c r="X51" s="213"/>
      <c r="Y51" s="214"/>
      <c r="Z51" s="214"/>
      <c r="AA51" s="214"/>
    </row>
    <row r="52" spans="1:37" ht="12.75" x14ac:dyDescent="0.2">
      <c r="A52" s="214"/>
      <c r="X52" s="213"/>
      <c r="Y52" s="214"/>
      <c r="Z52" s="214"/>
      <c r="AA52" s="214"/>
    </row>
    <row r="53" spans="1:37" ht="12.75" x14ac:dyDescent="0.2">
      <c r="A53" s="214"/>
      <c r="X53" s="213"/>
      <c r="Y53" s="214"/>
      <c r="Z53" s="214"/>
      <c r="AA53" s="214"/>
    </row>
    <row r="54" spans="1:37" ht="12.75" x14ac:dyDescent="0.2">
      <c r="A54" s="214"/>
      <c r="X54" s="213"/>
      <c r="Y54" s="214"/>
      <c r="Z54" s="214"/>
      <c r="AA54" s="214"/>
    </row>
    <row r="55" spans="1:37" ht="12.75" x14ac:dyDescent="0.2">
      <c r="B55" s="243" t="s">
        <v>207</v>
      </c>
      <c r="C55" s="244">
        <f>X29</f>
        <v>6670000</v>
      </c>
      <c r="X55" s="213"/>
      <c r="Y55" s="214"/>
      <c r="Z55" s="214"/>
      <c r="AA55" s="214"/>
    </row>
    <row r="56" spans="1:37" ht="12.75" x14ac:dyDescent="0.2">
      <c r="B56" s="243" t="s">
        <v>130</v>
      </c>
      <c r="C56" s="244">
        <v>-1200000</v>
      </c>
      <c r="X56" s="213"/>
      <c r="Y56" s="214"/>
      <c r="Z56" s="214"/>
      <c r="AA56" s="214"/>
    </row>
    <row r="57" spans="1:37" ht="12.75" x14ac:dyDescent="0.2">
      <c r="B57" s="243" t="s">
        <v>208</v>
      </c>
      <c r="C57" s="244">
        <v>-1980000</v>
      </c>
      <c r="X57" s="213"/>
      <c r="Y57" s="214"/>
      <c r="Z57" s="214"/>
      <c r="AA57" s="214"/>
    </row>
    <row r="58" spans="1:37" ht="12.75" x14ac:dyDescent="0.2">
      <c r="B58" s="243" t="s">
        <v>5</v>
      </c>
      <c r="C58" s="245">
        <f>W41</f>
        <v>200000</v>
      </c>
      <c r="X58" s="213"/>
      <c r="Y58" s="214"/>
      <c r="Z58" s="214"/>
      <c r="AA58" s="214"/>
    </row>
    <row r="59" spans="1:37" ht="12.75" x14ac:dyDescent="0.2">
      <c r="B59" s="243" t="s">
        <v>108</v>
      </c>
      <c r="C59" s="244">
        <v>1616000</v>
      </c>
      <c r="X59" s="213"/>
      <c r="Y59" s="214"/>
      <c r="Z59" s="214"/>
      <c r="AA59" s="214"/>
    </row>
    <row r="60" spans="1:37" ht="12.75" x14ac:dyDescent="0.2">
      <c r="B60" s="243" t="s">
        <v>209</v>
      </c>
      <c r="C60" s="243">
        <v>1674000</v>
      </c>
      <c r="X60" s="213"/>
      <c r="Y60" s="214"/>
      <c r="Z60" s="214"/>
      <c r="AA60" s="214"/>
    </row>
    <row r="61" spans="1:37" ht="12.75" x14ac:dyDescent="0.2">
      <c r="X61" s="213"/>
      <c r="Y61" s="214"/>
      <c r="Z61" s="214"/>
      <c r="AA61" s="214"/>
    </row>
    <row r="62" spans="1:37" ht="12.75" x14ac:dyDescent="0.2">
      <c r="X62" s="213"/>
      <c r="Y62" s="214"/>
      <c r="Z62" s="214"/>
      <c r="AA62" s="214"/>
    </row>
    <row r="63" spans="1:37" ht="12.75" x14ac:dyDescent="0.2">
      <c r="X63" s="213"/>
      <c r="Y63" s="214"/>
      <c r="Z63" s="214"/>
      <c r="AA63" s="214"/>
    </row>
    <row r="64" spans="1:37" ht="12.75" x14ac:dyDescent="0.2">
      <c r="X64" s="213"/>
      <c r="Y64" s="214"/>
      <c r="Z64" s="214"/>
      <c r="AA64" s="214"/>
    </row>
    <row r="65" spans="24:27" ht="12.75" x14ac:dyDescent="0.2">
      <c r="X65" s="213"/>
      <c r="Y65" s="214"/>
      <c r="Z65" s="214"/>
      <c r="AA65" s="214"/>
    </row>
    <row r="66" spans="24:27" ht="12.75" x14ac:dyDescent="0.2">
      <c r="X66" s="213"/>
      <c r="Y66" s="214"/>
      <c r="Z66" s="214"/>
      <c r="AA66" s="214"/>
    </row>
    <row r="67" spans="24:27" ht="12.75" x14ac:dyDescent="0.2">
      <c r="X67" s="213"/>
      <c r="Y67" s="214"/>
      <c r="Z67" s="214"/>
      <c r="AA67" s="214"/>
    </row>
    <row r="68" spans="24:27" ht="12.75" x14ac:dyDescent="0.2">
      <c r="X68" s="213"/>
      <c r="Y68" s="214"/>
      <c r="Z68" s="214"/>
      <c r="AA68" s="214"/>
    </row>
    <row r="69" spans="24:27" ht="12.75" x14ac:dyDescent="0.2">
      <c r="X69" s="213"/>
      <c r="Y69" s="214"/>
      <c r="Z69" s="214"/>
      <c r="AA69" s="214"/>
    </row>
    <row r="70" spans="24:27" ht="12.75" x14ac:dyDescent="0.2">
      <c r="X70" s="213"/>
      <c r="Y70" s="214"/>
      <c r="Z70" s="214"/>
      <c r="AA70" s="214"/>
    </row>
    <row r="71" spans="24:27" ht="12.75" x14ac:dyDescent="0.2">
      <c r="X71" s="213"/>
      <c r="Y71" s="214"/>
      <c r="Z71" s="214"/>
      <c r="AA71" s="214"/>
    </row>
    <row r="72" spans="24:27" ht="12.75" x14ac:dyDescent="0.2">
      <c r="X72" s="213"/>
      <c r="Y72" s="214"/>
      <c r="Z72" s="214"/>
      <c r="AA72" s="214"/>
    </row>
    <row r="73" spans="24:27" ht="12.75" x14ac:dyDescent="0.2">
      <c r="X73" s="213"/>
      <c r="Y73" s="214"/>
      <c r="Z73" s="214"/>
      <c r="AA73" s="214"/>
    </row>
    <row r="74" spans="24:27" ht="12.75" x14ac:dyDescent="0.2">
      <c r="X74" s="213"/>
      <c r="Y74" s="214"/>
      <c r="Z74" s="214"/>
      <c r="AA74" s="214"/>
    </row>
    <row r="75" spans="24:27" ht="12.75" x14ac:dyDescent="0.2">
      <c r="X75" s="213"/>
      <c r="Y75" s="214"/>
      <c r="Z75" s="214"/>
      <c r="AA75" s="214"/>
    </row>
    <row r="76" spans="24:27" ht="12.75" x14ac:dyDescent="0.2">
      <c r="X76" s="213"/>
      <c r="Y76" s="214"/>
      <c r="Z76" s="214"/>
      <c r="AA76" s="214"/>
    </row>
    <row r="77" spans="24:27" ht="12.75" x14ac:dyDescent="0.2">
      <c r="X77" s="213"/>
      <c r="Y77" s="214"/>
      <c r="Z77" s="214"/>
      <c r="AA77" s="214"/>
    </row>
    <row r="78" spans="24:27" ht="12.75" x14ac:dyDescent="0.2">
      <c r="X78" s="213"/>
      <c r="Y78" s="214"/>
      <c r="Z78" s="214"/>
      <c r="AA78" s="214"/>
    </row>
    <row r="79" spans="24:27" ht="12.75" x14ac:dyDescent="0.2">
      <c r="X79" s="213"/>
      <c r="Y79" s="214"/>
      <c r="Z79" s="214"/>
      <c r="AA79" s="214"/>
    </row>
    <row r="80" spans="24:27" ht="12.75" x14ac:dyDescent="0.2">
      <c r="X80" s="213"/>
      <c r="Y80" s="214"/>
      <c r="Z80" s="214"/>
      <c r="AA80" s="214"/>
    </row>
    <row r="81" spans="24:27" ht="12.75" x14ac:dyDescent="0.2">
      <c r="X81" s="213"/>
      <c r="Y81" s="214"/>
      <c r="Z81" s="214"/>
      <c r="AA81" s="214"/>
    </row>
    <row r="82" spans="24:27" ht="12.75" x14ac:dyDescent="0.2">
      <c r="X82" s="213"/>
      <c r="Y82" s="214"/>
      <c r="Z82" s="214"/>
      <c r="AA82" s="214"/>
    </row>
    <row r="83" spans="24:27" ht="12.75" x14ac:dyDescent="0.2">
      <c r="X83" s="213"/>
      <c r="Y83" s="214"/>
      <c r="Z83" s="214"/>
      <c r="AA83" s="214"/>
    </row>
    <row r="84" spans="24:27" ht="12.75" x14ac:dyDescent="0.2">
      <c r="X84" s="213"/>
      <c r="Y84" s="214"/>
      <c r="Z84" s="214"/>
      <c r="AA84" s="214"/>
    </row>
    <row r="85" spans="24:27" ht="12.75" x14ac:dyDescent="0.2">
      <c r="X85" s="213"/>
      <c r="Y85" s="214"/>
      <c r="Z85" s="214"/>
      <c r="AA85" s="214"/>
    </row>
    <row r="86" spans="24:27" ht="12.75" x14ac:dyDescent="0.2">
      <c r="X86" s="213"/>
      <c r="Y86" s="214"/>
      <c r="Z86" s="214"/>
      <c r="AA86" s="214"/>
    </row>
    <row r="87" spans="24:27" ht="12.75" x14ac:dyDescent="0.2">
      <c r="X87" s="213"/>
      <c r="Y87" s="214"/>
      <c r="Z87" s="214"/>
      <c r="AA87" s="214"/>
    </row>
    <row r="88" spans="24:27" ht="12.75" x14ac:dyDescent="0.2">
      <c r="X88" s="213"/>
      <c r="Y88" s="214"/>
      <c r="Z88" s="214"/>
      <c r="AA88" s="214"/>
    </row>
    <row r="89" spans="24:27" ht="12.75" x14ac:dyDescent="0.2">
      <c r="X89" s="213"/>
      <c r="Y89" s="214"/>
      <c r="Z89" s="214"/>
      <c r="AA89" s="214"/>
    </row>
    <row r="90" spans="24:27" ht="12.75" x14ac:dyDescent="0.2">
      <c r="X90" s="213"/>
      <c r="Y90" s="214"/>
      <c r="Z90" s="214"/>
      <c r="AA90" s="214"/>
    </row>
    <row r="91" spans="24:27" ht="12.75" x14ac:dyDescent="0.2">
      <c r="X91" s="213"/>
      <c r="Y91" s="214"/>
      <c r="Z91" s="214"/>
      <c r="AA91" s="214"/>
    </row>
    <row r="92" spans="24:27" ht="12.75" x14ac:dyDescent="0.2">
      <c r="X92" s="213"/>
      <c r="Y92" s="214"/>
      <c r="Z92" s="214"/>
      <c r="AA92" s="214"/>
    </row>
    <row r="93" spans="24:27" ht="12.75" x14ac:dyDescent="0.2">
      <c r="X93" s="213"/>
      <c r="Y93" s="214"/>
      <c r="Z93" s="214"/>
      <c r="AA93" s="214"/>
    </row>
    <row r="94" spans="24:27" ht="12.75" x14ac:dyDescent="0.2">
      <c r="X94" s="213"/>
      <c r="Y94" s="214"/>
      <c r="Z94" s="214"/>
      <c r="AA94" s="214"/>
    </row>
    <row r="95" spans="24:27" ht="12.75" x14ac:dyDescent="0.2">
      <c r="X95" s="213"/>
      <c r="Y95" s="214"/>
      <c r="Z95" s="214"/>
      <c r="AA95" s="214"/>
    </row>
    <row r="96" spans="24:27" ht="12.75" x14ac:dyDescent="0.2">
      <c r="X96" s="213"/>
      <c r="Y96" s="214"/>
      <c r="Z96" s="214"/>
      <c r="AA96" s="214"/>
    </row>
    <row r="97" spans="24:27" ht="12.75" x14ac:dyDescent="0.2">
      <c r="X97" s="213"/>
      <c r="Y97" s="214"/>
      <c r="Z97" s="214"/>
      <c r="AA97" s="214"/>
    </row>
    <row r="98" spans="24:27" ht="12.75" x14ac:dyDescent="0.2">
      <c r="X98" s="213"/>
      <c r="Y98" s="214"/>
      <c r="Z98" s="214"/>
      <c r="AA98" s="214"/>
    </row>
    <row r="99" spans="24:27" ht="12.75" x14ac:dyDescent="0.2">
      <c r="X99" s="213"/>
      <c r="Y99" s="214"/>
      <c r="Z99" s="214"/>
      <c r="AA99" s="214"/>
    </row>
    <row r="100" spans="24:27" ht="12.75" x14ac:dyDescent="0.2">
      <c r="X100" s="213"/>
      <c r="Y100" s="214"/>
      <c r="Z100" s="214"/>
      <c r="AA100" s="214"/>
    </row>
    <row r="101" spans="24:27" ht="12.75" x14ac:dyDescent="0.2">
      <c r="X101" s="213"/>
      <c r="Y101" s="214"/>
      <c r="Z101" s="214"/>
      <c r="AA101" s="214"/>
    </row>
    <row r="102" spans="24:27" ht="12.75" x14ac:dyDescent="0.2">
      <c r="X102" s="213"/>
      <c r="Y102" s="214"/>
      <c r="Z102" s="214"/>
      <c r="AA102" s="214"/>
    </row>
    <row r="103" spans="24:27" ht="12.75" x14ac:dyDescent="0.2">
      <c r="X103" s="213"/>
      <c r="Y103" s="214"/>
      <c r="Z103" s="214"/>
      <c r="AA103" s="214"/>
    </row>
    <row r="104" spans="24:27" ht="12.75" x14ac:dyDescent="0.2">
      <c r="X104" s="213"/>
      <c r="Y104" s="214"/>
      <c r="Z104" s="214"/>
      <c r="AA104" s="214"/>
    </row>
    <row r="105" spans="24:27" ht="12.75" x14ac:dyDescent="0.2">
      <c r="X105" s="213"/>
      <c r="Y105" s="214"/>
      <c r="Z105" s="214"/>
      <c r="AA105" s="214"/>
    </row>
    <row r="106" spans="24:27" ht="12.75" x14ac:dyDescent="0.2">
      <c r="X106" s="213"/>
      <c r="Y106" s="214"/>
      <c r="Z106" s="214"/>
      <c r="AA106" s="214"/>
    </row>
    <row r="107" spans="24:27" ht="12.75" x14ac:dyDescent="0.2">
      <c r="X107" s="213"/>
      <c r="Y107" s="214"/>
      <c r="Z107" s="214"/>
      <c r="AA107" s="214"/>
    </row>
    <row r="108" spans="24:27" ht="12.75" x14ac:dyDescent="0.2">
      <c r="X108" s="213"/>
      <c r="Y108" s="214"/>
      <c r="Z108" s="214"/>
      <c r="AA108" s="214"/>
    </row>
    <row r="109" spans="24:27" ht="12.75" x14ac:dyDescent="0.2">
      <c r="X109" s="213"/>
      <c r="Y109" s="214"/>
      <c r="Z109" s="214"/>
      <c r="AA109" s="214"/>
    </row>
    <row r="110" spans="24:27" ht="12.75" x14ac:dyDescent="0.2">
      <c r="X110" s="213"/>
      <c r="Y110" s="214"/>
      <c r="Z110" s="214"/>
      <c r="AA110" s="214"/>
    </row>
    <row r="111" spans="24:27" ht="12.75" x14ac:dyDescent="0.2">
      <c r="X111" s="213"/>
      <c r="Y111" s="214"/>
      <c r="Z111" s="214"/>
      <c r="AA111" s="214"/>
    </row>
    <row r="112" spans="24:27" ht="12.75" x14ac:dyDescent="0.2">
      <c r="X112" s="213"/>
      <c r="Y112" s="214"/>
      <c r="Z112" s="214"/>
      <c r="AA112" s="214"/>
    </row>
    <row r="113" spans="24:27" ht="12.75" x14ac:dyDescent="0.2">
      <c r="X113" s="213"/>
      <c r="Y113" s="214"/>
      <c r="Z113" s="214"/>
      <c r="AA113" s="214"/>
    </row>
    <row r="114" spans="24:27" ht="12.75" x14ac:dyDescent="0.2">
      <c r="X114" s="213"/>
      <c r="Y114" s="214"/>
      <c r="Z114" s="214"/>
      <c r="AA114" s="214"/>
    </row>
    <row r="115" spans="24:27" ht="12.75" x14ac:dyDescent="0.2">
      <c r="X115" s="213"/>
      <c r="Y115" s="214"/>
      <c r="Z115" s="214"/>
      <c r="AA115" s="214"/>
    </row>
    <row r="116" spans="24:27" ht="12.75" x14ac:dyDescent="0.2">
      <c r="X116" s="213"/>
      <c r="Y116" s="214"/>
      <c r="Z116" s="214"/>
      <c r="AA116" s="214"/>
    </row>
    <row r="117" spans="24:27" ht="12.75" x14ac:dyDescent="0.2">
      <c r="X117" s="213"/>
      <c r="Y117" s="214"/>
      <c r="Z117" s="214"/>
      <c r="AA117" s="214"/>
    </row>
    <row r="118" spans="24:27" ht="12.75" x14ac:dyDescent="0.2">
      <c r="X118" s="213"/>
      <c r="Y118" s="214"/>
      <c r="Z118" s="214"/>
      <c r="AA118" s="214"/>
    </row>
    <row r="119" spans="24:27" ht="12.75" x14ac:dyDescent="0.2">
      <c r="X119" s="213"/>
      <c r="Y119" s="214"/>
      <c r="Z119" s="214"/>
      <c r="AA119" s="214"/>
    </row>
    <row r="120" spans="24:27" ht="12.75" x14ac:dyDescent="0.2">
      <c r="X120" s="213"/>
      <c r="Y120" s="214"/>
      <c r="Z120" s="214"/>
      <c r="AA120" s="214"/>
    </row>
    <row r="121" spans="24:27" ht="12.75" x14ac:dyDescent="0.2">
      <c r="X121" s="213"/>
      <c r="Y121" s="214"/>
      <c r="Z121" s="214"/>
      <c r="AA121" s="214"/>
    </row>
    <row r="122" spans="24:27" ht="12.75" x14ac:dyDescent="0.2">
      <c r="X122" s="213"/>
      <c r="Y122" s="214"/>
      <c r="Z122" s="214"/>
      <c r="AA122" s="214"/>
    </row>
    <row r="123" spans="24:27" ht="12.75" x14ac:dyDescent="0.2">
      <c r="X123" s="213"/>
      <c r="Y123" s="214"/>
      <c r="Z123" s="214"/>
      <c r="AA123" s="214"/>
    </row>
    <row r="124" spans="24:27" ht="12.75" x14ac:dyDescent="0.2">
      <c r="X124" s="213"/>
      <c r="Y124" s="214"/>
      <c r="Z124" s="214"/>
      <c r="AA124" s="214"/>
    </row>
    <row r="125" spans="24:27" ht="12.75" x14ac:dyDescent="0.2">
      <c r="X125" s="213"/>
      <c r="Y125" s="214"/>
      <c r="Z125" s="214"/>
      <c r="AA125" s="214"/>
    </row>
    <row r="126" spans="24:27" ht="12.75" x14ac:dyDescent="0.2">
      <c r="X126" s="213"/>
      <c r="Y126" s="214"/>
      <c r="Z126" s="214"/>
      <c r="AA126" s="214"/>
    </row>
    <row r="127" spans="24:27" ht="12.75" x14ac:dyDescent="0.2">
      <c r="X127" s="213"/>
      <c r="Y127" s="214"/>
      <c r="Z127" s="214"/>
      <c r="AA127" s="214"/>
    </row>
    <row r="128" spans="24:27" ht="12.75" x14ac:dyDescent="0.2">
      <c r="X128" s="213"/>
      <c r="Y128" s="214"/>
      <c r="Z128" s="214"/>
      <c r="AA128" s="214"/>
    </row>
    <row r="129" spans="24:27" ht="12.75" x14ac:dyDescent="0.2">
      <c r="X129" s="213"/>
      <c r="Y129" s="214"/>
      <c r="Z129" s="214"/>
      <c r="AA129" s="214"/>
    </row>
    <row r="130" spans="24:27" ht="12.75" x14ac:dyDescent="0.2">
      <c r="X130" s="213"/>
      <c r="Y130" s="214"/>
      <c r="Z130" s="214"/>
      <c r="AA130" s="214"/>
    </row>
    <row r="131" spans="24:27" ht="12.75" x14ac:dyDescent="0.2">
      <c r="X131" s="213"/>
      <c r="Y131" s="214"/>
      <c r="Z131" s="214"/>
      <c r="AA131" s="214"/>
    </row>
    <row r="132" spans="24:27" ht="12.75" x14ac:dyDescent="0.2">
      <c r="X132" s="213"/>
      <c r="Y132" s="214"/>
      <c r="Z132" s="214"/>
      <c r="AA132" s="214"/>
    </row>
    <row r="133" spans="24:27" ht="12.75" x14ac:dyDescent="0.2">
      <c r="X133" s="213"/>
      <c r="Y133" s="214"/>
      <c r="Z133" s="214"/>
      <c r="AA133" s="214"/>
    </row>
    <row r="134" spans="24:27" ht="12.75" x14ac:dyDescent="0.2">
      <c r="X134" s="213"/>
      <c r="Y134" s="214"/>
      <c r="Z134" s="214"/>
      <c r="AA134" s="214"/>
    </row>
    <row r="135" spans="24:27" ht="12.75" x14ac:dyDescent="0.2">
      <c r="X135" s="213"/>
      <c r="Y135" s="214"/>
      <c r="Z135" s="214"/>
      <c r="AA135" s="214"/>
    </row>
    <row r="136" spans="24:27" ht="12.75" x14ac:dyDescent="0.2">
      <c r="X136" s="213"/>
      <c r="Y136" s="214"/>
      <c r="Z136" s="214"/>
      <c r="AA136" s="214"/>
    </row>
    <row r="137" spans="24:27" ht="12.75" x14ac:dyDescent="0.2">
      <c r="X137" s="213"/>
      <c r="Y137" s="214"/>
      <c r="Z137" s="214"/>
      <c r="AA137" s="214"/>
    </row>
    <row r="138" spans="24:27" ht="12.75" x14ac:dyDescent="0.2">
      <c r="X138" s="213"/>
      <c r="Y138" s="214"/>
      <c r="Z138" s="214"/>
      <c r="AA138" s="214"/>
    </row>
    <row r="139" spans="24:27" ht="12.75" x14ac:dyDescent="0.2">
      <c r="X139" s="213"/>
      <c r="Y139" s="214"/>
      <c r="Z139" s="214"/>
      <c r="AA139" s="214"/>
    </row>
    <row r="140" spans="24:27" ht="12.75" x14ac:dyDescent="0.2">
      <c r="X140" s="213"/>
      <c r="Y140" s="214"/>
      <c r="Z140" s="214"/>
      <c r="AA140" s="214"/>
    </row>
    <row r="141" spans="24:27" ht="12.75" x14ac:dyDescent="0.2">
      <c r="X141" s="213"/>
      <c r="Y141" s="214"/>
      <c r="Z141" s="214"/>
      <c r="AA141" s="214"/>
    </row>
    <row r="142" spans="24:27" ht="12.75" x14ac:dyDescent="0.2">
      <c r="X142" s="213"/>
      <c r="Y142" s="214"/>
      <c r="Z142" s="214"/>
      <c r="AA142" s="214"/>
    </row>
    <row r="143" spans="24:27" ht="12.75" x14ac:dyDescent="0.2">
      <c r="X143" s="213"/>
      <c r="Y143" s="214"/>
      <c r="Z143" s="214"/>
      <c r="AA143" s="214"/>
    </row>
    <row r="144" spans="24:27" ht="12.75" x14ac:dyDescent="0.2">
      <c r="X144" s="213"/>
      <c r="Y144" s="214"/>
      <c r="Z144" s="214"/>
      <c r="AA144" s="214"/>
    </row>
    <row r="145" spans="24:27" ht="12.75" x14ac:dyDescent="0.2">
      <c r="X145" s="213"/>
      <c r="Y145" s="214"/>
      <c r="Z145" s="214"/>
      <c r="AA145" s="214"/>
    </row>
    <row r="146" spans="24:27" ht="12.75" x14ac:dyDescent="0.2">
      <c r="X146" s="213"/>
      <c r="Y146" s="214"/>
      <c r="Z146" s="214"/>
      <c r="AA146" s="214"/>
    </row>
    <row r="147" spans="24:27" ht="12.75" x14ac:dyDescent="0.2">
      <c r="X147" s="213"/>
      <c r="Y147" s="214"/>
      <c r="Z147" s="214"/>
      <c r="AA147" s="214"/>
    </row>
    <row r="148" spans="24:27" ht="12.75" x14ac:dyDescent="0.2">
      <c r="X148" s="213"/>
      <c r="Y148" s="214"/>
      <c r="Z148" s="214"/>
      <c r="AA148" s="214"/>
    </row>
    <row r="149" spans="24:27" ht="12.75" x14ac:dyDescent="0.2">
      <c r="X149" s="213"/>
      <c r="Y149" s="214"/>
      <c r="Z149" s="214"/>
      <c r="AA149" s="214"/>
    </row>
    <row r="150" spans="24:27" ht="12.75" x14ac:dyDescent="0.2">
      <c r="X150" s="213"/>
      <c r="Y150" s="214"/>
      <c r="Z150" s="214"/>
      <c r="AA150" s="214"/>
    </row>
    <row r="151" spans="24:27" ht="12.75" x14ac:dyDescent="0.2">
      <c r="X151" s="213"/>
      <c r="Y151" s="214"/>
      <c r="Z151" s="214"/>
      <c r="AA151" s="214"/>
    </row>
    <row r="152" spans="24:27" ht="12.75" x14ac:dyDescent="0.2">
      <c r="X152" s="213"/>
      <c r="Y152" s="214"/>
      <c r="Z152" s="214"/>
      <c r="AA152" s="214"/>
    </row>
    <row r="153" spans="24:27" ht="12.75" x14ac:dyDescent="0.2">
      <c r="X153" s="213"/>
      <c r="Y153" s="214"/>
      <c r="Z153" s="214"/>
      <c r="AA153" s="214"/>
    </row>
    <row r="154" spans="24:27" ht="12.75" x14ac:dyDescent="0.2">
      <c r="X154" s="213"/>
      <c r="Y154" s="214"/>
      <c r="Z154" s="214"/>
      <c r="AA154" s="214"/>
    </row>
    <row r="155" spans="24:27" ht="12.75" x14ac:dyDescent="0.2">
      <c r="X155" s="213"/>
      <c r="Y155" s="214"/>
      <c r="Z155" s="214"/>
      <c r="AA155" s="214"/>
    </row>
    <row r="156" spans="24:27" ht="12.75" x14ac:dyDescent="0.2">
      <c r="X156" s="213"/>
      <c r="Y156" s="214"/>
      <c r="Z156" s="214"/>
      <c r="AA156" s="214"/>
    </row>
    <row r="157" spans="24:27" ht="12.75" x14ac:dyDescent="0.2">
      <c r="X157" s="213"/>
      <c r="Y157" s="214"/>
      <c r="Z157" s="214"/>
      <c r="AA157" s="214"/>
    </row>
    <row r="158" spans="24:27" ht="12.75" x14ac:dyDescent="0.2">
      <c r="X158" s="213"/>
      <c r="Y158" s="214"/>
      <c r="Z158" s="214"/>
      <c r="AA158" s="214"/>
    </row>
    <row r="159" spans="24:27" ht="12.75" x14ac:dyDescent="0.2">
      <c r="X159" s="213"/>
      <c r="Y159" s="214"/>
      <c r="Z159" s="214"/>
      <c r="AA159" s="214"/>
    </row>
    <row r="160" spans="24:27" ht="12.75" x14ac:dyDescent="0.2">
      <c r="X160" s="213"/>
      <c r="Y160" s="214"/>
      <c r="Z160" s="214"/>
      <c r="AA160" s="214"/>
    </row>
    <row r="161" spans="24:27" ht="12.75" x14ac:dyDescent="0.2">
      <c r="X161" s="213"/>
      <c r="Y161" s="214"/>
      <c r="Z161" s="214"/>
      <c r="AA161" s="214"/>
    </row>
    <row r="162" spans="24:27" ht="12.75" x14ac:dyDescent="0.2">
      <c r="X162" s="213"/>
      <c r="Y162" s="214"/>
      <c r="Z162" s="214"/>
      <c r="AA162" s="214"/>
    </row>
    <row r="163" spans="24:27" ht="12.75" x14ac:dyDescent="0.2">
      <c r="X163" s="213"/>
      <c r="Y163" s="214"/>
      <c r="Z163" s="214"/>
      <c r="AA163" s="214"/>
    </row>
    <row r="164" spans="24:27" ht="12.75" x14ac:dyDescent="0.2">
      <c r="X164" s="213"/>
      <c r="Y164" s="214"/>
      <c r="Z164" s="214"/>
      <c r="AA164" s="214"/>
    </row>
    <row r="165" spans="24:27" ht="12.75" x14ac:dyDescent="0.2">
      <c r="X165" s="213"/>
      <c r="Y165" s="214"/>
      <c r="Z165" s="214"/>
      <c r="AA165" s="214"/>
    </row>
    <row r="166" spans="24:27" ht="12.75" x14ac:dyDescent="0.2">
      <c r="X166" s="213"/>
      <c r="Y166" s="214"/>
      <c r="Z166" s="214"/>
      <c r="AA166" s="214"/>
    </row>
    <row r="167" spans="24:27" ht="12.75" x14ac:dyDescent="0.2">
      <c r="X167" s="213"/>
      <c r="Y167" s="214"/>
      <c r="Z167" s="214"/>
      <c r="AA167" s="214"/>
    </row>
    <row r="168" spans="24:27" ht="12.75" x14ac:dyDescent="0.2">
      <c r="X168" s="213"/>
      <c r="Y168" s="214"/>
      <c r="Z168" s="214"/>
      <c r="AA168" s="214"/>
    </row>
    <row r="169" spans="24:27" ht="12.75" x14ac:dyDescent="0.2">
      <c r="X169" s="213"/>
      <c r="Y169" s="214"/>
      <c r="Z169" s="214"/>
      <c r="AA169" s="214"/>
    </row>
    <row r="170" spans="24:27" ht="12.75" x14ac:dyDescent="0.2">
      <c r="X170" s="213"/>
      <c r="Y170" s="214"/>
      <c r="Z170" s="214"/>
      <c r="AA170" s="214"/>
    </row>
    <row r="171" spans="24:27" ht="12.75" x14ac:dyDescent="0.2">
      <c r="X171" s="213"/>
      <c r="Y171" s="214"/>
      <c r="Z171" s="214"/>
      <c r="AA171" s="214"/>
    </row>
    <row r="172" spans="24:27" ht="12.75" x14ac:dyDescent="0.2">
      <c r="X172" s="213"/>
      <c r="Y172" s="214"/>
      <c r="Z172" s="214"/>
      <c r="AA172" s="214"/>
    </row>
    <row r="173" spans="24:27" ht="12.75" x14ac:dyDescent="0.2">
      <c r="X173" s="213"/>
      <c r="Y173" s="214"/>
      <c r="Z173" s="214"/>
      <c r="AA173" s="214"/>
    </row>
    <row r="174" spans="24:27" ht="12.75" x14ac:dyDescent="0.2">
      <c r="X174" s="213"/>
      <c r="Y174" s="214"/>
      <c r="Z174" s="214"/>
      <c r="AA174" s="214"/>
    </row>
    <row r="175" spans="24:27" ht="12.75" x14ac:dyDescent="0.2">
      <c r="X175" s="213"/>
      <c r="Y175" s="214"/>
      <c r="Z175" s="214"/>
      <c r="AA175" s="214"/>
    </row>
    <row r="176" spans="24:27" ht="12.75" x14ac:dyDescent="0.2">
      <c r="X176" s="213"/>
      <c r="Y176" s="214"/>
      <c r="Z176" s="214"/>
      <c r="AA176" s="214"/>
    </row>
    <row r="177" spans="24:27" ht="12.75" x14ac:dyDescent="0.2">
      <c r="X177" s="213"/>
      <c r="Y177" s="214"/>
      <c r="Z177" s="214"/>
      <c r="AA177" s="214"/>
    </row>
    <row r="178" spans="24:27" ht="12.75" x14ac:dyDescent="0.2">
      <c r="X178" s="213"/>
      <c r="Y178" s="214"/>
      <c r="Z178" s="214"/>
      <c r="AA178" s="214"/>
    </row>
    <row r="179" spans="24:27" ht="12.75" x14ac:dyDescent="0.2">
      <c r="X179" s="213"/>
      <c r="Y179" s="214"/>
      <c r="Z179" s="214"/>
      <c r="AA179" s="214"/>
    </row>
    <row r="180" spans="24:27" ht="12.75" x14ac:dyDescent="0.2">
      <c r="X180" s="213"/>
      <c r="Y180" s="214"/>
      <c r="Z180" s="214"/>
      <c r="AA180" s="214"/>
    </row>
    <row r="181" spans="24:27" ht="12.75" x14ac:dyDescent="0.2">
      <c r="X181" s="213"/>
      <c r="Y181" s="214"/>
      <c r="Z181" s="214"/>
      <c r="AA181" s="214"/>
    </row>
    <row r="182" spans="24:27" ht="12.75" x14ac:dyDescent="0.2">
      <c r="X182" s="213"/>
      <c r="Y182" s="214"/>
      <c r="Z182" s="214"/>
      <c r="AA182" s="214"/>
    </row>
    <row r="183" spans="24:27" ht="12.75" x14ac:dyDescent="0.2">
      <c r="X183" s="213"/>
      <c r="Y183" s="214"/>
      <c r="Z183" s="214"/>
      <c r="AA183" s="214"/>
    </row>
    <row r="184" spans="24:27" ht="12.75" x14ac:dyDescent="0.2">
      <c r="X184" s="213"/>
      <c r="Y184" s="214"/>
      <c r="Z184" s="214"/>
      <c r="AA184" s="214"/>
    </row>
    <row r="185" spans="24:27" ht="12.75" x14ac:dyDescent="0.2">
      <c r="X185" s="213"/>
      <c r="Y185" s="214"/>
      <c r="Z185" s="214"/>
      <c r="AA185" s="214"/>
    </row>
    <row r="186" spans="24:27" ht="12.75" x14ac:dyDescent="0.2">
      <c r="X186" s="213"/>
      <c r="Y186" s="214"/>
      <c r="Z186" s="214"/>
      <c r="AA186" s="214"/>
    </row>
    <row r="187" spans="24:27" ht="12.75" x14ac:dyDescent="0.2">
      <c r="X187" s="213"/>
      <c r="Y187" s="214"/>
      <c r="Z187" s="214"/>
      <c r="AA187" s="214"/>
    </row>
    <row r="188" spans="24:27" ht="12.75" x14ac:dyDescent="0.2">
      <c r="X188" s="213"/>
      <c r="Y188" s="214"/>
      <c r="Z188" s="214"/>
      <c r="AA188" s="214"/>
    </row>
    <row r="189" spans="24:27" ht="12.75" x14ac:dyDescent="0.2">
      <c r="X189" s="213"/>
      <c r="Y189" s="214"/>
      <c r="Z189" s="214"/>
      <c r="AA189" s="214"/>
    </row>
    <row r="190" spans="24:27" ht="12.75" x14ac:dyDescent="0.2">
      <c r="X190" s="213"/>
      <c r="Y190" s="214"/>
      <c r="Z190" s="214"/>
      <c r="AA190" s="214"/>
    </row>
    <row r="191" spans="24:27" ht="12.75" x14ac:dyDescent="0.2">
      <c r="X191" s="213"/>
      <c r="Y191" s="214"/>
      <c r="Z191" s="214"/>
      <c r="AA191" s="214"/>
    </row>
    <row r="192" spans="24:27" ht="12.75" x14ac:dyDescent="0.2">
      <c r="X192" s="213"/>
      <c r="Y192" s="214"/>
      <c r="Z192" s="214"/>
      <c r="AA192" s="214"/>
    </row>
    <row r="193" spans="24:27" ht="12.75" x14ac:dyDescent="0.2">
      <c r="X193" s="213"/>
      <c r="Y193" s="214"/>
      <c r="Z193" s="214"/>
      <c r="AA193" s="214"/>
    </row>
    <row r="194" spans="24:27" ht="12.75" x14ac:dyDescent="0.2">
      <c r="X194" s="213"/>
      <c r="Y194" s="214"/>
      <c r="Z194" s="214"/>
      <c r="AA194" s="214"/>
    </row>
    <row r="195" spans="24:27" ht="12.75" x14ac:dyDescent="0.2">
      <c r="X195" s="213"/>
      <c r="Y195" s="214"/>
      <c r="Z195" s="214"/>
      <c r="AA195" s="214"/>
    </row>
    <row r="196" spans="24:27" ht="12.75" x14ac:dyDescent="0.2">
      <c r="X196" s="213"/>
      <c r="Y196" s="214"/>
      <c r="Z196" s="214"/>
      <c r="AA196" s="214"/>
    </row>
    <row r="197" spans="24:27" ht="12.75" x14ac:dyDescent="0.2">
      <c r="X197" s="213"/>
      <c r="Y197" s="214"/>
      <c r="Z197" s="214"/>
      <c r="AA197" s="214"/>
    </row>
    <row r="198" spans="24:27" ht="12.75" x14ac:dyDescent="0.2">
      <c r="X198" s="213"/>
      <c r="Y198" s="214"/>
      <c r="Z198" s="214"/>
      <c r="AA198" s="214"/>
    </row>
    <row r="199" spans="24:27" ht="12.75" x14ac:dyDescent="0.2">
      <c r="X199" s="213"/>
      <c r="Y199" s="214"/>
      <c r="Z199" s="214"/>
      <c r="AA199" s="214"/>
    </row>
    <row r="200" spans="24:27" ht="12.75" x14ac:dyDescent="0.2">
      <c r="X200" s="213"/>
      <c r="Y200" s="214"/>
      <c r="Z200" s="214"/>
      <c r="AA200" s="214"/>
    </row>
    <row r="201" spans="24:27" ht="12.75" x14ac:dyDescent="0.2">
      <c r="X201" s="213"/>
      <c r="Y201" s="214"/>
      <c r="Z201" s="214"/>
      <c r="AA201" s="214"/>
    </row>
    <row r="202" spans="24:27" ht="12.75" x14ac:dyDescent="0.2">
      <c r="X202" s="213"/>
      <c r="Y202" s="214"/>
      <c r="Z202" s="214"/>
      <c r="AA202" s="214"/>
    </row>
    <row r="203" spans="24:27" ht="12.75" x14ac:dyDescent="0.2">
      <c r="X203" s="213"/>
      <c r="Y203" s="214"/>
      <c r="Z203" s="214"/>
      <c r="AA203" s="214"/>
    </row>
    <row r="204" spans="24:27" ht="12.75" x14ac:dyDescent="0.2">
      <c r="X204" s="213"/>
      <c r="Y204" s="214"/>
      <c r="Z204" s="214"/>
      <c r="AA204" s="214"/>
    </row>
    <row r="205" spans="24:27" ht="12.75" x14ac:dyDescent="0.2">
      <c r="X205" s="213"/>
      <c r="Y205" s="214"/>
      <c r="Z205" s="214"/>
      <c r="AA205" s="214"/>
    </row>
    <row r="206" spans="24:27" ht="12.75" x14ac:dyDescent="0.2">
      <c r="X206" s="213"/>
      <c r="Y206" s="214"/>
      <c r="Z206" s="214"/>
      <c r="AA206" s="214"/>
    </row>
    <row r="207" spans="24:27" ht="12.75" x14ac:dyDescent="0.2">
      <c r="X207" s="213"/>
      <c r="Y207" s="214"/>
      <c r="Z207" s="214"/>
      <c r="AA207" s="214"/>
    </row>
    <row r="208" spans="24:27" ht="12.75" x14ac:dyDescent="0.2">
      <c r="X208" s="213"/>
      <c r="Y208" s="214"/>
      <c r="Z208" s="214"/>
      <c r="AA208" s="214"/>
    </row>
    <row r="209" spans="24:27" ht="12.75" x14ac:dyDescent="0.2">
      <c r="X209" s="213"/>
      <c r="Y209" s="214"/>
      <c r="Z209" s="214"/>
      <c r="AA209" s="214"/>
    </row>
    <row r="210" spans="24:27" ht="12.75" x14ac:dyDescent="0.2">
      <c r="X210" s="213"/>
      <c r="Y210" s="214"/>
      <c r="Z210" s="214"/>
      <c r="AA210" s="214"/>
    </row>
    <row r="211" spans="24:27" ht="12.75" x14ac:dyDescent="0.2">
      <c r="X211" s="213"/>
      <c r="Y211" s="214"/>
      <c r="Z211" s="214"/>
      <c r="AA211" s="214"/>
    </row>
    <row r="212" spans="24:27" ht="12.75" x14ac:dyDescent="0.2">
      <c r="X212" s="213"/>
      <c r="Y212" s="214"/>
      <c r="Z212" s="214"/>
      <c r="AA212" s="214"/>
    </row>
    <row r="213" spans="24:27" ht="12.75" x14ac:dyDescent="0.2">
      <c r="X213" s="213"/>
      <c r="Y213" s="214"/>
      <c r="Z213" s="214"/>
      <c r="AA213" s="214"/>
    </row>
    <row r="214" spans="24:27" ht="12.75" x14ac:dyDescent="0.2">
      <c r="X214" s="213"/>
      <c r="Y214" s="214"/>
      <c r="Z214" s="214"/>
      <c r="AA214" s="214"/>
    </row>
    <row r="215" spans="24:27" ht="12.75" x14ac:dyDescent="0.2">
      <c r="X215" s="213"/>
      <c r="Y215" s="214"/>
      <c r="Z215" s="214"/>
      <c r="AA215" s="214"/>
    </row>
    <row r="216" spans="24:27" ht="12.75" x14ac:dyDescent="0.2">
      <c r="X216" s="213"/>
      <c r="Y216" s="214"/>
      <c r="Z216" s="214"/>
      <c r="AA216" s="214"/>
    </row>
    <row r="217" spans="24:27" ht="12.75" x14ac:dyDescent="0.2">
      <c r="X217" s="213"/>
      <c r="Y217" s="214"/>
      <c r="Z217" s="214"/>
      <c r="AA217" s="214"/>
    </row>
    <row r="218" spans="24:27" ht="12.75" x14ac:dyDescent="0.2">
      <c r="X218" s="213"/>
      <c r="Y218" s="214"/>
      <c r="Z218" s="214"/>
      <c r="AA218" s="214"/>
    </row>
    <row r="219" spans="24:27" ht="12.75" x14ac:dyDescent="0.2">
      <c r="X219" s="213"/>
      <c r="Y219" s="214"/>
      <c r="Z219" s="214"/>
      <c r="AA219" s="214"/>
    </row>
    <row r="220" spans="24:27" ht="12.75" x14ac:dyDescent="0.2">
      <c r="X220" s="213"/>
      <c r="Y220" s="214"/>
      <c r="Z220" s="214"/>
      <c r="AA220" s="214"/>
    </row>
    <row r="221" spans="24:27" ht="12.75" x14ac:dyDescent="0.2">
      <c r="X221" s="213"/>
      <c r="Y221" s="214"/>
      <c r="Z221" s="214"/>
      <c r="AA221" s="214"/>
    </row>
    <row r="222" spans="24:27" ht="12.75" x14ac:dyDescent="0.2">
      <c r="X222" s="213"/>
      <c r="Y222" s="214"/>
      <c r="Z222" s="214"/>
      <c r="AA222" s="214"/>
    </row>
    <row r="223" spans="24:27" ht="12.75" x14ac:dyDescent="0.2">
      <c r="X223" s="213"/>
      <c r="Y223" s="214"/>
      <c r="Z223" s="214"/>
      <c r="AA223" s="214"/>
    </row>
    <row r="224" spans="24:27" ht="12.75" x14ac:dyDescent="0.2">
      <c r="X224" s="213"/>
      <c r="Y224" s="214"/>
      <c r="Z224" s="214"/>
      <c r="AA224" s="214"/>
    </row>
    <row r="225" spans="24:27" ht="12.75" x14ac:dyDescent="0.2">
      <c r="X225" s="213"/>
      <c r="Y225" s="214"/>
      <c r="Z225" s="214"/>
      <c r="AA225" s="214"/>
    </row>
    <row r="226" spans="24:27" ht="12.75" x14ac:dyDescent="0.2">
      <c r="X226" s="213"/>
      <c r="Y226" s="214"/>
      <c r="Z226" s="214"/>
      <c r="AA226" s="214"/>
    </row>
    <row r="227" spans="24:27" ht="12.75" x14ac:dyDescent="0.2">
      <c r="X227" s="213"/>
      <c r="Y227" s="214"/>
      <c r="Z227" s="214"/>
      <c r="AA227" s="214"/>
    </row>
    <row r="228" spans="24:27" ht="12.75" x14ac:dyDescent="0.2">
      <c r="X228" s="213"/>
      <c r="Y228" s="214"/>
      <c r="Z228" s="214"/>
      <c r="AA228" s="214"/>
    </row>
    <row r="229" spans="24:27" ht="12.75" x14ac:dyDescent="0.2">
      <c r="X229" s="213"/>
      <c r="Y229" s="214"/>
      <c r="Z229" s="214"/>
      <c r="AA229" s="214"/>
    </row>
    <row r="230" spans="24:27" ht="12.75" x14ac:dyDescent="0.2">
      <c r="X230" s="213"/>
      <c r="Y230" s="214"/>
      <c r="Z230" s="214"/>
      <c r="AA230" s="214"/>
    </row>
    <row r="231" spans="24:27" ht="12.75" x14ac:dyDescent="0.2">
      <c r="X231" s="213"/>
      <c r="Y231" s="214"/>
      <c r="Z231" s="214"/>
      <c r="AA231" s="214"/>
    </row>
    <row r="232" spans="24:27" ht="12.75" x14ac:dyDescent="0.2">
      <c r="X232" s="213"/>
      <c r="Y232" s="214"/>
      <c r="Z232" s="214"/>
      <c r="AA232" s="214"/>
    </row>
    <row r="233" spans="24:27" ht="12.75" x14ac:dyDescent="0.2">
      <c r="X233" s="213"/>
      <c r="Y233" s="214"/>
      <c r="Z233" s="214"/>
      <c r="AA233" s="214"/>
    </row>
    <row r="234" spans="24:27" ht="12.75" x14ac:dyDescent="0.2">
      <c r="X234" s="213"/>
      <c r="Y234" s="214"/>
      <c r="Z234" s="214"/>
      <c r="AA234" s="214"/>
    </row>
    <row r="235" spans="24:27" ht="12.75" x14ac:dyDescent="0.2">
      <c r="X235" s="213"/>
      <c r="Y235" s="214"/>
      <c r="Z235" s="214"/>
      <c r="AA235" s="214"/>
    </row>
    <row r="236" spans="24:27" ht="12.75" x14ac:dyDescent="0.2">
      <c r="X236" s="213"/>
      <c r="Y236" s="214"/>
      <c r="Z236" s="214"/>
      <c r="AA236" s="214"/>
    </row>
    <row r="237" spans="24:27" ht="12.75" x14ac:dyDescent="0.2">
      <c r="X237" s="213"/>
      <c r="Y237" s="214"/>
      <c r="Z237" s="214"/>
      <c r="AA237" s="214"/>
    </row>
    <row r="238" spans="24:27" ht="12.75" x14ac:dyDescent="0.2">
      <c r="X238" s="213"/>
      <c r="Y238" s="214"/>
      <c r="Z238" s="214"/>
      <c r="AA238" s="214"/>
    </row>
    <row r="239" spans="24:27" ht="12.75" x14ac:dyDescent="0.2">
      <c r="X239" s="213"/>
      <c r="Y239" s="214"/>
      <c r="Z239" s="214"/>
      <c r="AA239" s="214"/>
    </row>
    <row r="240" spans="24:27" ht="12.75" x14ac:dyDescent="0.2">
      <c r="X240" s="213"/>
      <c r="Y240" s="214"/>
      <c r="Z240" s="214"/>
      <c r="AA240" s="214"/>
    </row>
    <row r="241" spans="24:27" ht="12.75" x14ac:dyDescent="0.2">
      <c r="X241" s="213"/>
      <c r="Y241" s="214"/>
      <c r="Z241" s="214"/>
      <c r="AA241" s="214"/>
    </row>
    <row r="242" spans="24:27" ht="12.75" x14ac:dyDescent="0.2">
      <c r="X242" s="213"/>
      <c r="Y242" s="214"/>
      <c r="Z242" s="214"/>
      <c r="AA242" s="214"/>
    </row>
    <row r="243" spans="24:27" ht="12.75" x14ac:dyDescent="0.2">
      <c r="X243" s="213"/>
      <c r="Y243" s="214"/>
      <c r="Z243" s="214"/>
      <c r="AA243" s="214"/>
    </row>
    <row r="244" spans="24:27" ht="12.75" x14ac:dyDescent="0.2">
      <c r="X244" s="213"/>
      <c r="Y244" s="214"/>
      <c r="Z244" s="214"/>
      <c r="AA244" s="214"/>
    </row>
    <row r="245" spans="24:27" ht="12.75" x14ac:dyDescent="0.2">
      <c r="X245" s="213"/>
      <c r="Y245" s="214"/>
      <c r="Z245" s="214"/>
      <c r="AA245" s="214"/>
    </row>
    <row r="246" spans="24:27" ht="12.75" x14ac:dyDescent="0.2">
      <c r="X246" s="213"/>
      <c r="Y246" s="214"/>
      <c r="Z246" s="214"/>
      <c r="AA246" s="214"/>
    </row>
    <row r="247" spans="24:27" ht="12.75" x14ac:dyDescent="0.2">
      <c r="X247" s="213"/>
      <c r="Y247" s="214"/>
      <c r="Z247" s="214"/>
      <c r="AA247" s="214"/>
    </row>
    <row r="248" spans="24:27" ht="12.75" x14ac:dyDescent="0.2">
      <c r="X248" s="213"/>
      <c r="Y248" s="214"/>
      <c r="Z248" s="214"/>
      <c r="AA248" s="214"/>
    </row>
    <row r="249" spans="24:27" ht="12.75" x14ac:dyDescent="0.2">
      <c r="X249" s="213"/>
      <c r="Y249" s="214"/>
      <c r="Z249" s="214"/>
      <c r="AA249" s="214"/>
    </row>
    <row r="250" spans="24:27" ht="12.75" x14ac:dyDescent="0.2">
      <c r="X250" s="213"/>
      <c r="Y250" s="214"/>
      <c r="Z250" s="214"/>
      <c r="AA250" s="214"/>
    </row>
    <row r="251" spans="24:27" ht="12.75" x14ac:dyDescent="0.2">
      <c r="X251" s="213"/>
      <c r="Y251" s="214"/>
      <c r="Z251" s="214"/>
      <c r="AA251" s="214"/>
    </row>
    <row r="252" spans="24:27" ht="12.75" x14ac:dyDescent="0.2">
      <c r="X252" s="213"/>
      <c r="Y252" s="214"/>
      <c r="Z252" s="214"/>
      <c r="AA252" s="214"/>
    </row>
    <row r="253" spans="24:27" ht="12.75" x14ac:dyDescent="0.2">
      <c r="X253" s="213"/>
      <c r="Y253" s="214"/>
      <c r="Z253" s="214"/>
      <c r="AA253" s="214"/>
    </row>
    <row r="254" spans="24:27" ht="12.75" x14ac:dyDescent="0.2">
      <c r="X254" s="213"/>
      <c r="Y254" s="214"/>
      <c r="Z254" s="214"/>
      <c r="AA254" s="214"/>
    </row>
    <row r="255" spans="24:27" ht="12.75" x14ac:dyDescent="0.2">
      <c r="X255" s="213"/>
      <c r="Y255" s="214"/>
      <c r="Z255" s="214"/>
      <c r="AA255" s="214"/>
    </row>
    <row r="256" spans="24:27" ht="12.75" x14ac:dyDescent="0.2">
      <c r="X256" s="213"/>
      <c r="Y256" s="214"/>
      <c r="Z256" s="214"/>
      <c r="AA256" s="214"/>
    </row>
    <row r="257" spans="24:27" ht="12.75" x14ac:dyDescent="0.2">
      <c r="X257" s="213"/>
      <c r="Y257" s="214"/>
      <c r="Z257" s="214"/>
      <c r="AA257" s="214"/>
    </row>
    <row r="258" spans="24:27" ht="12.75" x14ac:dyDescent="0.2">
      <c r="X258" s="213"/>
      <c r="Y258" s="214"/>
      <c r="Z258" s="214"/>
      <c r="AA258" s="214"/>
    </row>
    <row r="259" spans="24:27" ht="12.75" x14ac:dyDescent="0.2">
      <c r="X259" s="213"/>
      <c r="Y259" s="214"/>
      <c r="Z259" s="214"/>
      <c r="AA259" s="214"/>
    </row>
    <row r="260" spans="24:27" ht="12.75" x14ac:dyDescent="0.2">
      <c r="X260" s="213"/>
      <c r="Y260" s="214"/>
      <c r="Z260" s="214"/>
      <c r="AA260" s="214"/>
    </row>
    <row r="261" spans="24:27" ht="12.75" x14ac:dyDescent="0.2">
      <c r="X261" s="213"/>
      <c r="Y261" s="214"/>
      <c r="Z261" s="214"/>
      <c r="AA261" s="214"/>
    </row>
    <row r="262" spans="24:27" ht="12.75" x14ac:dyDescent="0.2">
      <c r="X262" s="213"/>
      <c r="Y262" s="214"/>
      <c r="Z262" s="214"/>
      <c r="AA262" s="214"/>
    </row>
    <row r="263" spans="24:27" ht="12.75" x14ac:dyDescent="0.2">
      <c r="X263" s="213"/>
      <c r="Y263" s="214"/>
      <c r="Z263" s="214"/>
      <c r="AA263" s="214"/>
    </row>
    <row r="264" spans="24:27" ht="12.75" x14ac:dyDescent="0.2">
      <c r="X264" s="213"/>
      <c r="Y264" s="214"/>
      <c r="Z264" s="214"/>
      <c r="AA264" s="214"/>
    </row>
    <row r="265" spans="24:27" ht="12.75" x14ac:dyDescent="0.2">
      <c r="X265" s="213"/>
      <c r="Y265" s="214"/>
      <c r="Z265" s="214"/>
      <c r="AA265" s="214"/>
    </row>
    <row r="266" spans="24:27" ht="12.75" x14ac:dyDescent="0.2">
      <c r="X266" s="213"/>
      <c r="Y266" s="214"/>
      <c r="Z266" s="214"/>
      <c r="AA266" s="214"/>
    </row>
    <row r="267" spans="24:27" ht="12.75" x14ac:dyDescent="0.2">
      <c r="X267" s="213"/>
      <c r="Y267" s="214"/>
      <c r="Z267" s="214"/>
      <c r="AA267" s="214"/>
    </row>
    <row r="268" spans="24:27" ht="12.75" x14ac:dyDescent="0.2">
      <c r="X268" s="213"/>
      <c r="Y268" s="214"/>
      <c r="Z268" s="214"/>
      <c r="AA268" s="214"/>
    </row>
    <row r="269" spans="24:27" ht="12.75" x14ac:dyDescent="0.2">
      <c r="X269" s="213"/>
      <c r="Y269" s="214"/>
      <c r="Z269" s="214"/>
      <c r="AA269" s="214"/>
    </row>
    <row r="270" spans="24:27" ht="12.75" x14ac:dyDescent="0.2">
      <c r="X270" s="213"/>
      <c r="Y270" s="214"/>
      <c r="Z270" s="214"/>
      <c r="AA270" s="214"/>
    </row>
    <row r="271" spans="24:27" ht="12.75" x14ac:dyDescent="0.2">
      <c r="X271" s="213"/>
      <c r="Y271" s="214"/>
      <c r="Z271" s="214"/>
      <c r="AA271" s="214"/>
    </row>
    <row r="272" spans="24:27" ht="12.75" x14ac:dyDescent="0.2">
      <c r="X272" s="213"/>
      <c r="Y272" s="214"/>
      <c r="Z272" s="214"/>
      <c r="AA272" s="214"/>
    </row>
    <row r="273" spans="24:27" ht="12.75" x14ac:dyDescent="0.2">
      <c r="X273" s="213"/>
      <c r="Y273" s="214"/>
      <c r="Z273" s="214"/>
      <c r="AA273" s="214"/>
    </row>
    <row r="274" spans="24:27" ht="12.75" x14ac:dyDescent="0.2">
      <c r="X274" s="213"/>
      <c r="Y274" s="214"/>
      <c r="Z274" s="214"/>
      <c r="AA274" s="214"/>
    </row>
    <row r="275" spans="24:27" ht="12.75" x14ac:dyDescent="0.2">
      <c r="X275" s="213"/>
      <c r="Y275" s="214"/>
      <c r="Z275" s="214"/>
      <c r="AA275" s="214"/>
    </row>
    <row r="276" spans="24:27" ht="12.75" x14ac:dyDescent="0.2">
      <c r="X276" s="213"/>
      <c r="Y276" s="214"/>
      <c r="Z276" s="214"/>
      <c r="AA276" s="214"/>
    </row>
    <row r="277" spans="24:27" ht="12.75" x14ac:dyDescent="0.2">
      <c r="X277" s="213"/>
      <c r="Y277" s="214"/>
      <c r="Z277" s="214"/>
      <c r="AA277" s="214"/>
    </row>
    <row r="278" spans="24:27" ht="12.75" x14ac:dyDescent="0.2">
      <c r="X278" s="213"/>
      <c r="Y278" s="214"/>
      <c r="Z278" s="214"/>
      <c r="AA278" s="214"/>
    </row>
    <row r="279" spans="24:27" ht="12.75" x14ac:dyDescent="0.2">
      <c r="X279" s="213"/>
      <c r="Y279" s="214"/>
      <c r="Z279" s="214"/>
      <c r="AA279" s="214"/>
    </row>
    <row r="280" spans="24:27" ht="12.75" x14ac:dyDescent="0.2">
      <c r="X280" s="213"/>
      <c r="Y280" s="214"/>
      <c r="Z280" s="214"/>
      <c r="AA280" s="214"/>
    </row>
    <row r="281" spans="24:27" ht="12.75" x14ac:dyDescent="0.2">
      <c r="X281" s="213"/>
      <c r="Y281" s="214"/>
      <c r="Z281" s="214"/>
      <c r="AA281" s="214"/>
    </row>
    <row r="282" spans="24:27" ht="12.75" x14ac:dyDescent="0.2">
      <c r="X282" s="213"/>
      <c r="Y282" s="214"/>
      <c r="Z282" s="214"/>
      <c r="AA282" s="214"/>
    </row>
    <row r="283" spans="24:27" ht="12.75" x14ac:dyDescent="0.2">
      <c r="X283" s="213"/>
      <c r="Y283" s="214"/>
      <c r="Z283" s="214"/>
      <c r="AA283" s="214"/>
    </row>
    <row r="284" spans="24:27" ht="12.75" x14ac:dyDescent="0.2">
      <c r="X284" s="213"/>
      <c r="Y284" s="214"/>
      <c r="Z284" s="214"/>
      <c r="AA284" s="214"/>
    </row>
    <row r="285" spans="24:27" ht="12.75" x14ac:dyDescent="0.2">
      <c r="X285" s="213"/>
      <c r="Y285" s="214"/>
      <c r="Z285" s="214"/>
      <c r="AA285" s="214"/>
    </row>
    <row r="286" spans="24:27" ht="12.75" x14ac:dyDescent="0.2">
      <c r="X286" s="213"/>
      <c r="Y286" s="214"/>
      <c r="Z286" s="214"/>
      <c r="AA286" s="214"/>
    </row>
    <row r="287" spans="24:27" ht="12.75" x14ac:dyDescent="0.2">
      <c r="X287" s="213"/>
      <c r="Y287" s="214"/>
      <c r="Z287" s="214"/>
      <c r="AA287" s="214"/>
    </row>
    <row r="288" spans="24:27" ht="12.75" x14ac:dyDescent="0.2">
      <c r="X288" s="213"/>
      <c r="Y288" s="214"/>
      <c r="Z288" s="214"/>
      <c r="AA288" s="214"/>
    </row>
    <row r="289" spans="24:27" ht="12.75" x14ac:dyDescent="0.2">
      <c r="X289" s="213"/>
      <c r="Y289" s="214"/>
      <c r="Z289" s="214"/>
      <c r="AA289" s="214"/>
    </row>
    <row r="290" spans="24:27" ht="12.75" x14ac:dyDescent="0.2">
      <c r="X290" s="213"/>
      <c r="Y290" s="214"/>
      <c r="Z290" s="214"/>
      <c r="AA290" s="214"/>
    </row>
    <row r="291" spans="24:27" ht="12.75" x14ac:dyDescent="0.2">
      <c r="X291" s="213"/>
      <c r="Y291" s="214"/>
      <c r="Z291" s="214"/>
      <c r="AA291" s="214"/>
    </row>
    <row r="292" spans="24:27" ht="12.75" x14ac:dyDescent="0.2">
      <c r="X292" s="213"/>
      <c r="Y292" s="214"/>
      <c r="Z292" s="214"/>
      <c r="AA292" s="214"/>
    </row>
    <row r="293" spans="24:27" ht="12.75" x14ac:dyDescent="0.2">
      <c r="X293" s="213"/>
      <c r="Y293" s="214"/>
      <c r="Z293" s="214"/>
      <c r="AA293" s="214"/>
    </row>
    <row r="294" spans="24:27" ht="12.75" x14ac:dyDescent="0.2">
      <c r="X294" s="213"/>
      <c r="Y294" s="214"/>
      <c r="Z294" s="214"/>
      <c r="AA294" s="214"/>
    </row>
    <row r="295" spans="24:27" ht="12.75" x14ac:dyDescent="0.2">
      <c r="X295" s="213"/>
      <c r="Y295" s="214"/>
      <c r="Z295" s="214"/>
      <c r="AA295" s="214"/>
    </row>
    <row r="296" spans="24:27" ht="12.75" x14ac:dyDescent="0.2">
      <c r="X296" s="213"/>
      <c r="Y296" s="214"/>
      <c r="Z296" s="214"/>
      <c r="AA296" s="214"/>
    </row>
    <row r="297" spans="24:27" ht="12.75" x14ac:dyDescent="0.2">
      <c r="X297" s="213"/>
      <c r="Y297" s="214"/>
      <c r="Z297" s="214"/>
      <c r="AA297" s="214"/>
    </row>
    <row r="298" spans="24:27" ht="12.75" x14ac:dyDescent="0.2">
      <c r="X298" s="213"/>
      <c r="Y298" s="214"/>
      <c r="Z298" s="214"/>
      <c r="AA298" s="214"/>
    </row>
    <row r="299" spans="24:27" ht="12.75" x14ac:dyDescent="0.2">
      <c r="X299" s="213"/>
      <c r="Y299" s="214"/>
      <c r="Z299" s="214"/>
      <c r="AA299" s="214"/>
    </row>
    <row r="300" spans="24:27" ht="12.75" x14ac:dyDescent="0.2">
      <c r="X300" s="213"/>
      <c r="Y300" s="214"/>
      <c r="Z300" s="214"/>
      <c r="AA300" s="214"/>
    </row>
    <row r="301" spans="24:27" ht="12.75" x14ac:dyDescent="0.2">
      <c r="X301" s="213"/>
      <c r="Y301" s="214"/>
      <c r="Z301" s="214"/>
      <c r="AA301" s="214"/>
    </row>
    <row r="302" spans="24:27" ht="12.75" x14ac:dyDescent="0.2">
      <c r="X302" s="213"/>
      <c r="Y302" s="214"/>
      <c r="Z302" s="214"/>
      <c r="AA302" s="214"/>
    </row>
    <row r="303" spans="24:27" ht="12.75" x14ac:dyDescent="0.2">
      <c r="X303" s="213"/>
      <c r="Y303" s="214"/>
      <c r="Z303" s="214"/>
      <c r="AA303" s="214"/>
    </row>
    <row r="304" spans="24:27" ht="12.75" x14ac:dyDescent="0.2">
      <c r="X304" s="213"/>
      <c r="Y304" s="214"/>
      <c r="Z304" s="214"/>
      <c r="AA304" s="214"/>
    </row>
    <row r="305" spans="24:27" ht="12.75" x14ac:dyDescent="0.2">
      <c r="X305" s="213"/>
      <c r="Y305" s="214"/>
      <c r="Z305" s="214"/>
      <c r="AA305" s="214"/>
    </row>
    <row r="306" spans="24:27" ht="12.75" x14ac:dyDescent="0.2">
      <c r="X306" s="213"/>
      <c r="Y306" s="214"/>
      <c r="Z306" s="214"/>
      <c r="AA306" s="214"/>
    </row>
    <row r="307" spans="24:27" ht="12.75" x14ac:dyDescent="0.2">
      <c r="X307" s="213"/>
      <c r="Y307" s="214"/>
      <c r="Z307" s="214"/>
      <c r="AA307" s="214"/>
    </row>
    <row r="308" spans="24:27" ht="12.75" x14ac:dyDescent="0.2">
      <c r="X308" s="213"/>
      <c r="Y308" s="214"/>
      <c r="Z308" s="214"/>
      <c r="AA308" s="214"/>
    </row>
    <row r="309" spans="24:27" ht="12.75" x14ac:dyDescent="0.2">
      <c r="X309" s="213"/>
      <c r="Y309" s="214"/>
      <c r="Z309" s="214"/>
      <c r="AA309" s="214"/>
    </row>
    <row r="310" spans="24:27" ht="12.75" x14ac:dyDescent="0.2">
      <c r="X310" s="213"/>
      <c r="Y310" s="214"/>
      <c r="Z310" s="214"/>
      <c r="AA310" s="214"/>
    </row>
    <row r="311" spans="24:27" ht="12.75" x14ac:dyDescent="0.2">
      <c r="X311" s="213"/>
      <c r="Y311" s="214"/>
      <c r="Z311" s="214"/>
      <c r="AA311" s="214"/>
    </row>
    <row r="312" spans="24:27" ht="12.75" x14ac:dyDescent="0.2">
      <c r="X312" s="213"/>
      <c r="Y312" s="214"/>
      <c r="Z312" s="214"/>
      <c r="AA312" s="214"/>
    </row>
    <row r="313" spans="24:27" ht="12.75" x14ac:dyDescent="0.2">
      <c r="X313" s="213"/>
      <c r="Y313" s="214"/>
      <c r="Z313" s="214"/>
      <c r="AA313" s="214"/>
    </row>
    <row r="314" spans="24:27" ht="12.75" x14ac:dyDescent="0.2">
      <c r="X314" s="213"/>
      <c r="Y314" s="214"/>
      <c r="Z314" s="214"/>
      <c r="AA314" s="214"/>
    </row>
    <row r="315" spans="24:27" ht="12.75" x14ac:dyDescent="0.2">
      <c r="X315" s="213"/>
      <c r="Y315" s="214"/>
      <c r="Z315" s="214"/>
      <c r="AA315" s="214"/>
    </row>
    <row r="316" spans="24:27" ht="12.75" x14ac:dyDescent="0.2">
      <c r="X316" s="213"/>
      <c r="Y316" s="214"/>
      <c r="Z316" s="214"/>
      <c r="AA316" s="214"/>
    </row>
    <row r="317" spans="24:27" ht="12.75" x14ac:dyDescent="0.2">
      <c r="X317" s="213"/>
      <c r="Y317" s="214"/>
      <c r="Z317" s="214"/>
      <c r="AA317" s="214"/>
    </row>
    <row r="318" spans="24:27" ht="12.75" x14ac:dyDescent="0.2">
      <c r="X318" s="213"/>
      <c r="Y318" s="214"/>
      <c r="Z318" s="214"/>
      <c r="AA318" s="214"/>
    </row>
    <row r="319" spans="24:27" ht="12.75" x14ac:dyDescent="0.2">
      <c r="X319" s="213"/>
      <c r="Y319" s="214"/>
      <c r="Z319" s="214"/>
      <c r="AA319" s="214"/>
    </row>
    <row r="320" spans="24:27" ht="12.75" x14ac:dyDescent="0.2">
      <c r="X320" s="213"/>
      <c r="Y320" s="214"/>
      <c r="Z320" s="214"/>
      <c r="AA320" s="214"/>
    </row>
    <row r="321" spans="24:27" ht="12.75" x14ac:dyDescent="0.2">
      <c r="X321" s="213"/>
      <c r="Y321" s="214"/>
      <c r="Z321" s="214"/>
      <c r="AA321" s="214"/>
    </row>
    <row r="322" spans="24:27" ht="12.75" x14ac:dyDescent="0.2">
      <c r="X322" s="213"/>
      <c r="Y322" s="214"/>
      <c r="Z322" s="214"/>
      <c r="AA322" s="214"/>
    </row>
    <row r="323" spans="24:27" ht="12.75" x14ac:dyDescent="0.2">
      <c r="X323" s="213"/>
      <c r="Y323" s="214"/>
      <c r="Z323" s="214"/>
      <c r="AA323" s="214"/>
    </row>
    <row r="324" spans="24:27" ht="12.75" x14ac:dyDescent="0.2">
      <c r="X324" s="213"/>
      <c r="Y324" s="214"/>
      <c r="Z324" s="214"/>
      <c r="AA324" s="214"/>
    </row>
    <row r="325" spans="24:27" ht="12.75" x14ac:dyDescent="0.2">
      <c r="X325" s="213"/>
      <c r="Y325" s="214"/>
      <c r="Z325" s="214"/>
      <c r="AA325" s="214"/>
    </row>
    <row r="326" spans="24:27" ht="12.75" x14ac:dyDescent="0.2">
      <c r="X326" s="213"/>
      <c r="Y326" s="214"/>
      <c r="Z326" s="214"/>
      <c r="AA326" s="214"/>
    </row>
    <row r="327" spans="24:27" ht="12.75" x14ac:dyDescent="0.2">
      <c r="X327" s="213"/>
      <c r="Y327" s="214"/>
      <c r="Z327" s="214"/>
      <c r="AA327" s="214"/>
    </row>
    <row r="328" spans="24:27" ht="12.75" x14ac:dyDescent="0.2">
      <c r="X328" s="213"/>
      <c r="Y328" s="214"/>
      <c r="Z328" s="214"/>
      <c r="AA328" s="214"/>
    </row>
    <row r="329" spans="24:27" ht="12.75" x14ac:dyDescent="0.2">
      <c r="X329" s="213"/>
      <c r="Y329" s="214"/>
      <c r="Z329" s="214"/>
      <c r="AA329" s="214"/>
    </row>
    <row r="330" spans="24:27" ht="12.75" x14ac:dyDescent="0.2">
      <c r="X330" s="213"/>
      <c r="Y330" s="214"/>
      <c r="Z330" s="214"/>
      <c r="AA330" s="214"/>
    </row>
    <row r="331" spans="24:27" ht="12.75" x14ac:dyDescent="0.2">
      <c r="X331" s="213"/>
      <c r="Y331" s="214"/>
      <c r="Z331" s="214"/>
      <c r="AA331" s="214"/>
    </row>
    <row r="332" spans="24:27" ht="12.75" x14ac:dyDescent="0.2">
      <c r="X332" s="213"/>
      <c r="Y332" s="214"/>
      <c r="Z332" s="214"/>
      <c r="AA332" s="214"/>
    </row>
    <row r="333" spans="24:27" ht="12.75" x14ac:dyDescent="0.2">
      <c r="X333" s="213"/>
      <c r="Y333" s="214"/>
      <c r="Z333" s="214"/>
      <c r="AA333" s="214"/>
    </row>
    <row r="334" spans="24:27" ht="12.75" x14ac:dyDescent="0.2">
      <c r="X334" s="213"/>
      <c r="Y334" s="214"/>
      <c r="Z334" s="214"/>
      <c r="AA334" s="214"/>
    </row>
    <row r="335" spans="24:27" ht="12.75" x14ac:dyDescent="0.2">
      <c r="X335" s="213"/>
      <c r="Y335" s="214"/>
      <c r="Z335" s="214"/>
      <c r="AA335" s="214"/>
    </row>
    <row r="336" spans="24:27" ht="12.75" x14ac:dyDescent="0.2">
      <c r="X336" s="213"/>
      <c r="Y336" s="214"/>
      <c r="Z336" s="214"/>
      <c r="AA336" s="214"/>
    </row>
    <row r="337" spans="24:27" ht="12.75" x14ac:dyDescent="0.2">
      <c r="X337" s="213"/>
      <c r="Y337" s="214"/>
      <c r="Z337" s="214"/>
      <c r="AA337" s="214"/>
    </row>
    <row r="338" spans="24:27" ht="12.75" x14ac:dyDescent="0.2">
      <c r="X338" s="213"/>
      <c r="Y338" s="214"/>
      <c r="Z338" s="214"/>
      <c r="AA338" s="214"/>
    </row>
    <row r="339" spans="24:27" ht="12.75" x14ac:dyDescent="0.2">
      <c r="X339" s="213"/>
      <c r="Y339" s="214"/>
      <c r="Z339" s="214"/>
      <c r="AA339" s="214"/>
    </row>
    <row r="340" spans="24:27" ht="12.75" x14ac:dyDescent="0.2">
      <c r="X340" s="213"/>
      <c r="Y340" s="214"/>
      <c r="Z340" s="214"/>
      <c r="AA340" s="214"/>
    </row>
    <row r="341" spans="24:27" ht="12.75" x14ac:dyDescent="0.2">
      <c r="X341" s="213"/>
      <c r="Y341" s="214"/>
      <c r="Z341" s="214"/>
      <c r="AA341" s="214"/>
    </row>
    <row r="342" spans="24:27" ht="12.75" x14ac:dyDescent="0.2">
      <c r="X342" s="213"/>
      <c r="Y342" s="214"/>
      <c r="Z342" s="214"/>
      <c r="AA342" s="214"/>
    </row>
    <row r="343" spans="24:27" ht="12.75" x14ac:dyDescent="0.2">
      <c r="X343" s="213"/>
      <c r="Y343" s="214"/>
      <c r="Z343" s="214"/>
      <c r="AA343" s="214"/>
    </row>
    <row r="344" spans="24:27" ht="12.75" x14ac:dyDescent="0.2">
      <c r="X344" s="213"/>
      <c r="Y344" s="214"/>
      <c r="Z344" s="214"/>
      <c r="AA344" s="214"/>
    </row>
    <row r="345" spans="24:27" ht="12.75" x14ac:dyDescent="0.2">
      <c r="X345" s="213"/>
      <c r="Y345" s="214"/>
      <c r="Z345" s="214"/>
      <c r="AA345" s="214"/>
    </row>
    <row r="346" spans="24:27" ht="12.75" x14ac:dyDescent="0.2">
      <c r="X346" s="213"/>
      <c r="Y346" s="214"/>
      <c r="Z346" s="214"/>
      <c r="AA346" s="214"/>
    </row>
    <row r="347" spans="24:27" ht="12.75" x14ac:dyDescent="0.2">
      <c r="X347" s="213"/>
      <c r="Y347" s="214"/>
      <c r="Z347" s="214"/>
      <c r="AA347" s="214"/>
    </row>
    <row r="348" spans="24:27" ht="12.75" x14ac:dyDescent="0.2">
      <c r="X348" s="213"/>
      <c r="Y348" s="214"/>
      <c r="Z348" s="214"/>
      <c r="AA348" s="214"/>
    </row>
    <row r="349" spans="24:27" ht="12.75" x14ac:dyDescent="0.2">
      <c r="X349" s="213"/>
      <c r="Y349" s="214"/>
      <c r="Z349" s="214"/>
      <c r="AA349" s="214"/>
    </row>
    <row r="350" spans="24:27" ht="12.75" x14ac:dyDescent="0.2">
      <c r="X350" s="213"/>
      <c r="Y350" s="214"/>
      <c r="Z350" s="214"/>
      <c r="AA350" s="214"/>
    </row>
    <row r="351" spans="24:27" ht="12.75" x14ac:dyDescent="0.2">
      <c r="X351" s="213"/>
      <c r="Y351" s="214"/>
      <c r="Z351" s="214"/>
      <c r="AA351" s="214"/>
    </row>
    <row r="352" spans="24:27" ht="12.75" x14ac:dyDescent="0.2">
      <c r="X352" s="213"/>
      <c r="Y352" s="214"/>
      <c r="Z352" s="214"/>
      <c r="AA352" s="214"/>
    </row>
    <row r="353" spans="24:27" ht="12.75" x14ac:dyDescent="0.2">
      <c r="X353" s="213"/>
      <c r="Y353" s="214"/>
      <c r="Z353" s="214"/>
      <c r="AA353" s="214"/>
    </row>
    <row r="354" spans="24:27" ht="12.75" x14ac:dyDescent="0.2">
      <c r="X354" s="213"/>
      <c r="Y354" s="214"/>
      <c r="Z354" s="214"/>
      <c r="AA354" s="214"/>
    </row>
    <row r="355" spans="24:27" ht="12.75" x14ac:dyDescent="0.2">
      <c r="X355" s="213"/>
      <c r="Y355" s="214"/>
      <c r="Z355" s="214"/>
      <c r="AA355" s="214"/>
    </row>
    <row r="356" spans="24:27" ht="12.75" x14ac:dyDescent="0.2">
      <c r="X356" s="213"/>
      <c r="Y356" s="214"/>
      <c r="Z356" s="214"/>
      <c r="AA356" s="214"/>
    </row>
    <row r="357" spans="24:27" ht="12.75" x14ac:dyDescent="0.2">
      <c r="X357" s="213"/>
      <c r="Y357" s="214"/>
      <c r="Z357" s="214"/>
      <c r="AA357" s="214"/>
    </row>
    <row r="358" spans="24:27" ht="12.75" x14ac:dyDescent="0.2">
      <c r="X358" s="213"/>
      <c r="Y358" s="214"/>
      <c r="Z358" s="214"/>
      <c r="AA358" s="214"/>
    </row>
    <row r="359" spans="24:27" ht="12.75" x14ac:dyDescent="0.2">
      <c r="X359" s="213"/>
      <c r="Y359" s="214"/>
      <c r="Z359" s="214"/>
      <c r="AA359" s="214"/>
    </row>
    <row r="360" spans="24:27" ht="12.75" x14ac:dyDescent="0.2">
      <c r="X360" s="213"/>
      <c r="Y360" s="214"/>
      <c r="Z360" s="214"/>
      <c r="AA360" s="214"/>
    </row>
    <row r="361" spans="24:27" ht="12.75" x14ac:dyDescent="0.2">
      <c r="X361" s="213"/>
      <c r="Y361" s="214"/>
      <c r="Z361" s="214"/>
      <c r="AA361" s="214"/>
    </row>
    <row r="362" spans="24:27" ht="12.75" x14ac:dyDescent="0.2">
      <c r="X362" s="213"/>
      <c r="Y362" s="214"/>
      <c r="Z362" s="214"/>
      <c r="AA362" s="214"/>
    </row>
    <row r="363" spans="24:27" ht="12.75" x14ac:dyDescent="0.2">
      <c r="X363" s="213"/>
      <c r="Y363" s="214"/>
      <c r="Z363" s="214"/>
      <c r="AA363" s="214"/>
    </row>
    <row r="364" spans="24:27" ht="12.75" x14ac:dyDescent="0.2">
      <c r="X364" s="213"/>
      <c r="Y364" s="214"/>
      <c r="Z364" s="214"/>
      <c r="AA364" s="214"/>
    </row>
    <row r="365" spans="24:27" ht="12.75" x14ac:dyDescent="0.2">
      <c r="X365" s="213"/>
      <c r="Y365" s="214"/>
      <c r="Z365" s="214"/>
      <c r="AA365" s="214"/>
    </row>
    <row r="366" spans="24:27" ht="12.75" x14ac:dyDescent="0.2">
      <c r="X366" s="213"/>
      <c r="Y366" s="214"/>
      <c r="Z366" s="214"/>
      <c r="AA366" s="214"/>
    </row>
    <row r="367" spans="24:27" ht="12.75" x14ac:dyDescent="0.2">
      <c r="X367" s="213"/>
      <c r="Y367" s="214"/>
      <c r="Z367" s="214"/>
      <c r="AA367" s="214"/>
    </row>
    <row r="368" spans="24:27" ht="12.75" x14ac:dyDescent="0.2">
      <c r="X368" s="213"/>
      <c r="Y368" s="214"/>
      <c r="Z368" s="214"/>
      <c r="AA368" s="214"/>
    </row>
    <row r="369" spans="24:27" ht="12.75" x14ac:dyDescent="0.2">
      <c r="X369" s="213"/>
      <c r="Y369" s="214"/>
      <c r="Z369" s="214"/>
      <c r="AA369" s="214"/>
    </row>
    <row r="370" spans="24:27" ht="12.75" x14ac:dyDescent="0.2">
      <c r="X370" s="213"/>
      <c r="Y370" s="214"/>
      <c r="Z370" s="214"/>
      <c r="AA370" s="214"/>
    </row>
    <row r="371" spans="24:27" ht="12.75" x14ac:dyDescent="0.2">
      <c r="X371" s="213"/>
      <c r="Y371" s="214"/>
      <c r="Z371" s="214"/>
      <c r="AA371" s="214"/>
    </row>
    <row r="372" spans="24:27" ht="12.75" x14ac:dyDescent="0.2">
      <c r="X372" s="213"/>
      <c r="Y372" s="214"/>
      <c r="Z372" s="214"/>
      <c r="AA372" s="214"/>
    </row>
    <row r="373" spans="24:27" ht="12.75" x14ac:dyDescent="0.2">
      <c r="X373" s="213"/>
      <c r="Y373" s="214"/>
      <c r="Z373" s="214"/>
      <c r="AA373" s="214"/>
    </row>
    <row r="374" spans="24:27" ht="12.75" x14ac:dyDescent="0.2">
      <c r="X374" s="213"/>
      <c r="Y374" s="214"/>
      <c r="Z374" s="214"/>
      <c r="AA374" s="214"/>
    </row>
    <row r="375" spans="24:27" ht="12.75" x14ac:dyDescent="0.2">
      <c r="X375" s="213"/>
      <c r="Y375" s="214"/>
      <c r="Z375" s="214"/>
      <c r="AA375" s="214"/>
    </row>
    <row r="376" spans="24:27" ht="12.75" x14ac:dyDescent="0.2">
      <c r="X376" s="213"/>
      <c r="Y376" s="214"/>
      <c r="Z376" s="214"/>
      <c r="AA376" s="214"/>
    </row>
    <row r="377" spans="24:27" ht="12.75" x14ac:dyDescent="0.2">
      <c r="X377" s="213"/>
      <c r="Y377" s="214"/>
      <c r="Z377" s="214"/>
      <c r="AA377" s="214"/>
    </row>
    <row r="378" spans="24:27" ht="12.75" x14ac:dyDescent="0.2">
      <c r="X378" s="213"/>
      <c r="Y378" s="214"/>
      <c r="Z378" s="214"/>
      <c r="AA378" s="214"/>
    </row>
    <row r="379" spans="24:27" ht="12.75" x14ac:dyDescent="0.2">
      <c r="X379" s="213"/>
      <c r="Y379" s="214"/>
      <c r="Z379" s="214"/>
      <c r="AA379" s="214"/>
    </row>
    <row r="380" spans="24:27" ht="12.75" x14ac:dyDescent="0.2">
      <c r="X380" s="213"/>
      <c r="Y380" s="214"/>
      <c r="Z380" s="214"/>
      <c r="AA380" s="214"/>
    </row>
    <row r="381" spans="24:27" ht="12.75" x14ac:dyDescent="0.2">
      <c r="X381" s="213"/>
      <c r="Y381" s="214"/>
      <c r="Z381" s="214"/>
      <c r="AA381" s="214"/>
    </row>
    <row r="382" spans="24:27" ht="12.75" x14ac:dyDescent="0.2">
      <c r="X382" s="213"/>
      <c r="Y382" s="214"/>
      <c r="Z382" s="214"/>
      <c r="AA382" s="214"/>
    </row>
    <row r="383" spans="24:27" ht="12.75" x14ac:dyDescent="0.2">
      <c r="X383" s="213"/>
      <c r="Y383" s="214"/>
      <c r="Z383" s="214"/>
      <c r="AA383" s="214"/>
    </row>
    <row r="384" spans="24:27" ht="12.75" x14ac:dyDescent="0.2">
      <c r="X384" s="213"/>
      <c r="Y384" s="214"/>
      <c r="Z384" s="214"/>
      <c r="AA384" s="214"/>
    </row>
    <row r="385" spans="24:27" ht="12.75" x14ac:dyDescent="0.2">
      <c r="X385" s="213"/>
      <c r="Y385" s="214"/>
      <c r="Z385" s="214"/>
      <c r="AA385" s="214"/>
    </row>
    <row r="386" spans="24:27" ht="12.75" x14ac:dyDescent="0.2">
      <c r="X386" s="213"/>
      <c r="Y386" s="214"/>
      <c r="Z386" s="214"/>
      <c r="AA386" s="214"/>
    </row>
    <row r="387" spans="24:27" ht="12.75" x14ac:dyDescent="0.2">
      <c r="X387" s="213"/>
      <c r="Y387" s="214"/>
      <c r="Z387" s="214"/>
      <c r="AA387" s="214"/>
    </row>
    <row r="388" spans="24:27" ht="12.75" x14ac:dyDescent="0.2">
      <c r="X388" s="213"/>
      <c r="Y388" s="214"/>
      <c r="Z388" s="214"/>
      <c r="AA388" s="214"/>
    </row>
    <row r="389" spans="24:27" ht="12.75" x14ac:dyDescent="0.2">
      <c r="X389" s="213"/>
      <c r="Y389" s="214"/>
      <c r="Z389" s="214"/>
      <c r="AA389" s="214"/>
    </row>
    <row r="390" spans="24:27" ht="12.75" x14ac:dyDescent="0.2">
      <c r="X390" s="213"/>
      <c r="Y390" s="214"/>
      <c r="Z390" s="214"/>
      <c r="AA390" s="214"/>
    </row>
    <row r="391" spans="24:27" ht="12.75" x14ac:dyDescent="0.2">
      <c r="X391" s="213"/>
      <c r="Y391" s="214"/>
      <c r="Z391" s="214"/>
      <c r="AA391" s="214"/>
    </row>
    <row r="392" spans="24:27" ht="12.75" x14ac:dyDescent="0.2">
      <c r="X392" s="213"/>
      <c r="Y392" s="214"/>
      <c r="Z392" s="214"/>
      <c r="AA392" s="214"/>
    </row>
    <row r="393" spans="24:27" ht="12.75" x14ac:dyDescent="0.2">
      <c r="X393" s="213"/>
      <c r="Y393" s="214"/>
      <c r="Z393" s="214"/>
      <c r="AA393" s="214"/>
    </row>
    <row r="394" spans="24:27" ht="12.75" x14ac:dyDescent="0.2">
      <c r="X394" s="213"/>
      <c r="Y394" s="214"/>
      <c r="Z394" s="214"/>
      <c r="AA394" s="214"/>
    </row>
    <row r="395" spans="24:27" ht="12.75" x14ac:dyDescent="0.2">
      <c r="X395" s="213"/>
      <c r="Y395" s="214"/>
      <c r="Z395" s="214"/>
      <c r="AA395" s="214"/>
    </row>
    <row r="396" spans="24:27" ht="12.75" x14ac:dyDescent="0.2">
      <c r="X396" s="213"/>
      <c r="Y396" s="214"/>
      <c r="Z396" s="214"/>
      <c r="AA396" s="214"/>
    </row>
    <row r="397" spans="24:27" ht="12.75" x14ac:dyDescent="0.2">
      <c r="X397" s="213"/>
      <c r="Y397" s="214"/>
      <c r="Z397" s="214"/>
      <c r="AA397" s="214"/>
    </row>
    <row r="398" spans="24:27" ht="12.75" x14ac:dyDescent="0.2">
      <c r="X398" s="213"/>
      <c r="Y398" s="214"/>
      <c r="Z398" s="214"/>
      <c r="AA398" s="214"/>
    </row>
    <row r="399" spans="24:27" ht="12.75" x14ac:dyDescent="0.2">
      <c r="X399" s="213"/>
      <c r="Y399" s="214"/>
      <c r="Z399" s="214"/>
      <c r="AA399" s="214"/>
    </row>
    <row r="400" spans="24:27" ht="12.75" x14ac:dyDescent="0.2">
      <c r="X400" s="213"/>
      <c r="Y400" s="214"/>
      <c r="Z400" s="214"/>
      <c r="AA400" s="214"/>
    </row>
    <row r="401" spans="24:27" ht="12.75" x14ac:dyDescent="0.2">
      <c r="X401" s="213"/>
      <c r="Y401" s="214"/>
      <c r="Z401" s="214"/>
      <c r="AA401" s="214"/>
    </row>
    <row r="402" spans="24:27" ht="12.75" x14ac:dyDescent="0.2">
      <c r="X402" s="213"/>
      <c r="Y402" s="214"/>
      <c r="Z402" s="214"/>
      <c r="AA402" s="214"/>
    </row>
    <row r="403" spans="24:27" ht="12.75" x14ac:dyDescent="0.2">
      <c r="X403" s="213"/>
      <c r="Y403" s="214"/>
      <c r="Z403" s="214"/>
      <c r="AA403" s="214"/>
    </row>
    <row r="404" spans="24:27" ht="12.75" x14ac:dyDescent="0.2">
      <c r="X404" s="213"/>
      <c r="Y404" s="214"/>
      <c r="Z404" s="214"/>
      <c r="AA404" s="214"/>
    </row>
    <row r="405" spans="24:27" ht="12.75" x14ac:dyDescent="0.2">
      <c r="X405" s="213"/>
      <c r="Y405" s="214"/>
      <c r="Z405" s="214"/>
      <c r="AA405" s="214"/>
    </row>
    <row r="406" spans="24:27" ht="12.75" x14ac:dyDescent="0.2">
      <c r="X406" s="213"/>
      <c r="Y406" s="214"/>
      <c r="Z406" s="214"/>
      <c r="AA406" s="214"/>
    </row>
    <row r="407" spans="24:27" ht="12.75" x14ac:dyDescent="0.2">
      <c r="X407" s="213"/>
      <c r="Y407" s="214"/>
      <c r="Z407" s="214"/>
      <c r="AA407" s="214"/>
    </row>
    <row r="408" spans="24:27" ht="12.75" x14ac:dyDescent="0.2">
      <c r="X408" s="213"/>
      <c r="Y408" s="214"/>
      <c r="Z408" s="214"/>
      <c r="AA408" s="214"/>
    </row>
    <row r="409" spans="24:27" ht="12.75" x14ac:dyDescent="0.2">
      <c r="X409" s="213"/>
      <c r="Y409" s="214"/>
      <c r="Z409" s="214"/>
      <c r="AA409" s="214"/>
    </row>
    <row r="410" spans="24:27" ht="12.75" x14ac:dyDescent="0.2">
      <c r="X410" s="213"/>
      <c r="Y410" s="214"/>
      <c r="Z410" s="214"/>
      <c r="AA410" s="214"/>
    </row>
    <row r="411" spans="24:27" ht="12.75" x14ac:dyDescent="0.2">
      <c r="X411" s="213"/>
      <c r="Y411" s="214"/>
      <c r="Z411" s="214"/>
      <c r="AA411" s="214"/>
    </row>
    <row r="412" spans="24:27" ht="12.75" x14ac:dyDescent="0.2">
      <c r="X412" s="213"/>
      <c r="Y412" s="214"/>
      <c r="Z412" s="214"/>
      <c r="AA412" s="214"/>
    </row>
    <row r="413" spans="24:27" ht="12.75" x14ac:dyDescent="0.2">
      <c r="X413" s="213"/>
      <c r="Y413" s="214"/>
      <c r="Z413" s="214"/>
      <c r="AA413" s="214"/>
    </row>
    <row r="414" spans="24:27" ht="12.75" x14ac:dyDescent="0.2">
      <c r="X414" s="213"/>
      <c r="Y414" s="214"/>
      <c r="Z414" s="214"/>
      <c r="AA414" s="214"/>
    </row>
    <row r="415" spans="24:27" ht="12.75" x14ac:dyDescent="0.2">
      <c r="X415" s="213"/>
      <c r="Y415" s="214"/>
      <c r="Z415" s="214"/>
      <c r="AA415" s="214"/>
    </row>
    <row r="416" spans="24:27" ht="12.75" x14ac:dyDescent="0.2">
      <c r="X416" s="213"/>
      <c r="Y416" s="214"/>
      <c r="Z416" s="214"/>
      <c r="AA416" s="214"/>
    </row>
    <row r="417" spans="24:27" ht="12.75" x14ac:dyDescent="0.2">
      <c r="X417" s="213"/>
      <c r="Y417" s="214"/>
      <c r="Z417" s="214"/>
      <c r="AA417" s="214"/>
    </row>
    <row r="418" spans="24:27" ht="12.75" x14ac:dyDescent="0.2">
      <c r="X418" s="213"/>
      <c r="Y418" s="214"/>
      <c r="Z418" s="214"/>
      <c r="AA418" s="214"/>
    </row>
    <row r="419" spans="24:27" ht="12.75" x14ac:dyDescent="0.2">
      <c r="X419" s="213"/>
      <c r="Y419" s="214"/>
      <c r="Z419" s="214"/>
      <c r="AA419" s="214"/>
    </row>
    <row r="420" spans="24:27" ht="12.75" x14ac:dyDescent="0.2">
      <c r="X420" s="213"/>
      <c r="Y420" s="214"/>
      <c r="Z420" s="214"/>
      <c r="AA420" s="214"/>
    </row>
    <row r="421" spans="24:27" ht="12.75" x14ac:dyDescent="0.2">
      <c r="X421" s="213"/>
      <c r="Y421" s="214"/>
      <c r="Z421" s="214"/>
      <c r="AA421" s="214"/>
    </row>
    <row r="422" spans="24:27" ht="12.75" x14ac:dyDescent="0.2">
      <c r="X422" s="213"/>
      <c r="Y422" s="214"/>
      <c r="Z422" s="214"/>
      <c r="AA422" s="214"/>
    </row>
    <row r="423" spans="24:27" ht="12.75" x14ac:dyDescent="0.2">
      <c r="X423" s="213"/>
      <c r="Y423" s="214"/>
      <c r="Z423" s="214"/>
      <c r="AA423" s="214"/>
    </row>
    <row r="424" spans="24:27" ht="12.75" x14ac:dyDescent="0.2">
      <c r="X424" s="213"/>
      <c r="Y424" s="214"/>
      <c r="Z424" s="214"/>
      <c r="AA424" s="214"/>
    </row>
    <row r="425" spans="24:27" ht="12.75" x14ac:dyDescent="0.2">
      <c r="X425" s="213"/>
      <c r="Y425" s="214"/>
      <c r="Z425" s="214"/>
      <c r="AA425" s="214"/>
    </row>
    <row r="426" spans="24:27" ht="12.75" x14ac:dyDescent="0.2">
      <c r="X426" s="213"/>
      <c r="Y426" s="214"/>
      <c r="Z426" s="214"/>
      <c r="AA426" s="214"/>
    </row>
    <row r="427" spans="24:27" ht="12.75" x14ac:dyDescent="0.2">
      <c r="X427" s="213"/>
      <c r="Y427" s="214"/>
      <c r="Z427" s="214"/>
      <c r="AA427" s="214"/>
    </row>
    <row r="428" spans="24:27" ht="12.75" x14ac:dyDescent="0.2">
      <c r="X428" s="213"/>
      <c r="Y428" s="214"/>
      <c r="Z428" s="214"/>
      <c r="AA428" s="214"/>
    </row>
    <row r="429" spans="24:27" ht="12.75" x14ac:dyDescent="0.2">
      <c r="X429" s="213"/>
      <c r="Y429" s="214"/>
      <c r="Z429" s="214"/>
      <c r="AA429" s="214"/>
    </row>
    <row r="430" spans="24:27" ht="12.75" x14ac:dyDescent="0.2">
      <c r="X430" s="213"/>
      <c r="Y430" s="214"/>
      <c r="Z430" s="214"/>
      <c r="AA430" s="214"/>
    </row>
    <row r="431" spans="24:27" ht="12.75" x14ac:dyDescent="0.2">
      <c r="X431" s="213"/>
      <c r="Y431" s="214"/>
      <c r="Z431" s="214"/>
      <c r="AA431" s="214"/>
    </row>
    <row r="432" spans="24:27" ht="12.75" x14ac:dyDescent="0.2">
      <c r="X432" s="213"/>
      <c r="Y432" s="214"/>
      <c r="Z432" s="214"/>
      <c r="AA432" s="214"/>
    </row>
    <row r="433" spans="24:27" ht="12.75" x14ac:dyDescent="0.2">
      <c r="X433" s="213"/>
      <c r="Y433" s="214"/>
      <c r="Z433" s="214"/>
      <c r="AA433" s="214"/>
    </row>
    <row r="434" spans="24:27" ht="12.75" x14ac:dyDescent="0.2">
      <c r="X434" s="213"/>
      <c r="Y434" s="214"/>
      <c r="Z434" s="214"/>
      <c r="AA434" s="214"/>
    </row>
    <row r="435" spans="24:27" ht="12.75" x14ac:dyDescent="0.2">
      <c r="X435" s="213"/>
      <c r="Y435" s="214"/>
      <c r="Z435" s="214"/>
      <c r="AA435" s="214"/>
    </row>
    <row r="436" spans="24:27" ht="12.75" x14ac:dyDescent="0.2">
      <c r="X436" s="213"/>
      <c r="Y436" s="214"/>
      <c r="Z436" s="214"/>
      <c r="AA436" s="214"/>
    </row>
    <row r="437" spans="24:27" ht="12.75" x14ac:dyDescent="0.2">
      <c r="X437" s="213"/>
      <c r="Y437" s="214"/>
      <c r="Z437" s="214"/>
      <c r="AA437" s="214"/>
    </row>
    <row r="438" spans="24:27" ht="12.75" x14ac:dyDescent="0.2">
      <c r="X438" s="213"/>
      <c r="Y438" s="214"/>
      <c r="Z438" s="214"/>
      <c r="AA438" s="214"/>
    </row>
    <row r="439" spans="24:27" ht="12.75" x14ac:dyDescent="0.2">
      <c r="X439" s="213"/>
      <c r="Y439" s="214"/>
      <c r="Z439" s="214"/>
      <c r="AA439" s="214"/>
    </row>
    <row r="440" spans="24:27" ht="12.75" x14ac:dyDescent="0.2">
      <c r="X440" s="213"/>
      <c r="Y440" s="214"/>
      <c r="Z440" s="214"/>
      <c r="AA440" s="214"/>
    </row>
    <row r="441" spans="24:27" ht="12.75" x14ac:dyDescent="0.2">
      <c r="X441" s="213"/>
      <c r="Y441" s="214"/>
      <c r="Z441" s="214"/>
      <c r="AA441" s="214"/>
    </row>
    <row r="442" spans="24:27" ht="12.75" x14ac:dyDescent="0.2">
      <c r="X442" s="213"/>
      <c r="Y442" s="214"/>
      <c r="Z442" s="214"/>
      <c r="AA442" s="214"/>
    </row>
    <row r="443" spans="24:27" ht="12.75" x14ac:dyDescent="0.2">
      <c r="X443" s="213"/>
      <c r="Y443" s="214"/>
      <c r="Z443" s="214"/>
      <c r="AA443" s="214"/>
    </row>
    <row r="444" spans="24:27" ht="12.75" x14ac:dyDescent="0.2">
      <c r="X444" s="213"/>
      <c r="Y444" s="214"/>
      <c r="Z444" s="214"/>
      <c r="AA444" s="214"/>
    </row>
    <row r="445" spans="24:27" ht="12.75" x14ac:dyDescent="0.2">
      <c r="X445" s="213"/>
      <c r="Y445" s="214"/>
      <c r="Z445" s="214"/>
      <c r="AA445" s="214"/>
    </row>
    <row r="446" spans="24:27" ht="12.75" x14ac:dyDescent="0.2">
      <c r="X446" s="213"/>
      <c r="Y446" s="214"/>
      <c r="Z446" s="214"/>
      <c r="AA446" s="214"/>
    </row>
    <row r="447" spans="24:27" ht="12.75" x14ac:dyDescent="0.2">
      <c r="X447" s="213"/>
      <c r="Y447" s="214"/>
      <c r="Z447" s="214"/>
      <c r="AA447" s="214"/>
    </row>
    <row r="448" spans="24:27" ht="12.75" x14ac:dyDescent="0.2">
      <c r="X448" s="213"/>
      <c r="Y448" s="214"/>
      <c r="Z448" s="214"/>
      <c r="AA448" s="214"/>
    </row>
    <row r="449" spans="24:27" ht="12.75" x14ac:dyDescent="0.2">
      <c r="X449" s="213"/>
      <c r="Y449" s="214"/>
      <c r="Z449" s="214"/>
      <c r="AA449" s="214"/>
    </row>
    <row r="450" spans="24:27" ht="12.75" x14ac:dyDescent="0.2">
      <c r="X450" s="213"/>
      <c r="Y450" s="214"/>
      <c r="Z450" s="214"/>
      <c r="AA450" s="214"/>
    </row>
    <row r="451" spans="24:27" ht="12.75" x14ac:dyDescent="0.2">
      <c r="X451" s="213"/>
      <c r="Y451" s="214"/>
      <c r="Z451" s="214"/>
      <c r="AA451" s="214"/>
    </row>
    <row r="452" spans="24:27" ht="12.75" x14ac:dyDescent="0.2">
      <c r="X452" s="213"/>
      <c r="Y452" s="214"/>
      <c r="Z452" s="214"/>
      <c r="AA452" s="214"/>
    </row>
    <row r="453" spans="24:27" ht="12.75" x14ac:dyDescent="0.2">
      <c r="X453" s="213"/>
      <c r="Y453" s="214"/>
      <c r="Z453" s="214"/>
      <c r="AA453" s="214"/>
    </row>
    <row r="454" spans="24:27" ht="12.75" x14ac:dyDescent="0.2">
      <c r="X454" s="213"/>
      <c r="Y454" s="214"/>
      <c r="Z454" s="214"/>
      <c r="AA454" s="214"/>
    </row>
    <row r="455" spans="24:27" ht="12.75" x14ac:dyDescent="0.2">
      <c r="X455" s="213"/>
      <c r="Y455" s="214"/>
      <c r="Z455" s="214"/>
      <c r="AA455" s="214"/>
    </row>
    <row r="456" spans="24:27" ht="12.75" x14ac:dyDescent="0.2">
      <c r="X456" s="213"/>
      <c r="Y456" s="214"/>
      <c r="Z456" s="214"/>
      <c r="AA456" s="214"/>
    </row>
    <row r="457" spans="24:27" ht="12.75" x14ac:dyDescent="0.2">
      <c r="X457" s="213"/>
      <c r="Y457" s="214"/>
      <c r="Z457" s="214"/>
      <c r="AA457" s="214"/>
    </row>
    <row r="458" spans="24:27" ht="12.75" x14ac:dyDescent="0.2">
      <c r="X458" s="213"/>
      <c r="Y458" s="214"/>
      <c r="Z458" s="214"/>
      <c r="AA458" s="214"/>
    </row>
    <row r="459" spans="24:27" ht="12.75" x14ac:dyDescent="0.2">
      <c r="X459" s="213"/>
      <c r="Y459" s="214"/>
      <c r="Z459" s="214"/>
      <c r="AA459" s="214"/>
    </row>
    <row r="460" spans="24:27" ht="12.75" x14ac:dyDescent="0.2">
      <c r="X460" s="213"/>
      <c r="Y460" s="214"/>
      <c r="Z460" s="214"/>
      <c r="AA460" s="214"/>
    </row>
    <row r="461" spans="24:27" ht="12.75" x14ac:dyDescent="0.2">
      <c r="X461" s="213"/>
      <c r="Y461" s="214"/>
      <c r="Z461" s="214"/>
      <c r="AA461" s="214"/>
    </row>
    <row r="462" spans="24:27" ht="12.75" x14ac:dyDescent="0.2">
      <c r="X462" s="213"/>
      <c r="Y462" s="214"/>
      <c r="Z462" s="214"/>
      <c r="AA462" s="214"/>
    </row>
    <row r="463" spans="24:27" ht="12.75" x14ac:dyDescent="0.2">
      <c r="X463" s="213"/>
      <c r="Y463" s="214"/>
      <c r="Z463" s="214"/>
      <c r="AA463" s="214"/>
    </row>
    <row r="464" spans="24:27" ht="12.75" x14ac:dyDescent="0.2">
      <c r="X464" s="213"/>
      <c r="Y464" s="214"/>
      <c r="Z464" s="214"/>
      <c r="AA464" s="214"/>
    </row>
    <row r="465" spans="24:27" ht="12.75" x14ac:dyDescent="0.2">
      <c r="X465" s="213"/>
      <c r="Y465" s="214"/>
      <c r="Z465" s="214"/>
      <c r="AA465" s="214"/>
    </row>
    <row r="466" spans="24:27" ht="12.75" x14ac:dyDescent="0.2">
      <c r="X466" s="213"/>
      <c r="Y466" s="214"/>
      <c r="Z466" s="214"/>
      <c r="AA466" s="214"/>
    </row>
    <row r="467" spans="24:27" ht="12.75" x14ac:dyDescent="0.2">
      <c r="X467" s="213"/>
      <c r="Y467" s="214"/>
      <c r="Z467" s="214"/>
      <c r="AA467" s="214"/>
    </row>
    <row r="468" spans="24:27" ht="12.75" x14ac:dyDescent="0.2">
      <c r="X468" s="213"/>
      <c r="Y468" s="214"/>
      <c r="Z468" s="214"/>
      <c r="AA468" s="214"/>
    </row>
    <row r="469" spans="24:27" ht="12.75" x14ac:dyDescent="0.2">
      <c r="X469" s="213"/>
      <c r="Y469" s="214"/>
      <c r="Z469" s="214"/>
      <c r="AA469" s="214"/>
    </row>
    <row r="470" spans="24:27" ht="12.75" x14ac:dyDescent="0.2">
      <c r="X470" s="213"/>
      <c r="Y470" s="214"/>
      <c r="Z470" s="214"/>
      <c r="AA470" s="214"/>
    </row>
    <row r="471" spans="24:27" ht="12.75" x14ac:dyDescent="0.2">
      <c r="X471" s="213"/>
      <c r="Y471" s="214"/>
      <c r="Z471" s="214"/>
      <c r="AA471" s="214"/>
    </row>
    <row r="472" spans="24:27" ht="12.75" x14ac:dyDescent="0.2">
      <c r="X472" s="213"/>
      <c r="Y472" s="214"/>
      <c r="Z472" s="214"/>
      <c r="AA472" s="214"/>
    </row>
    <row r="473" spans="24:27" ht="12.75" x14ac:dyDescent="0.2">
      <c r="X473" s="213"/>
      <c r="Y473" s="214"/>
      <c r="Z473" s="214"/>
      <c r="AA473" s="214"/>
    </row>
    <row r="474" spans="24:27" ht="12.75" x14ac:dyDescent="0.2">
      <c r="X474" s="213"/>
      <c r="Y474" s="214"/>
      <c r="Z474" s="214"/>
      <c r="AA474" s="214"/>
    </row>
    <row r="475" spans="24:27" ht="12.75" x14ac:dyDescent="0.2">
      <c r="X475" s="213"/>
      <c r="Y475" s="214"/>
      <c r="Z475" s="214"/>
      <c r="AA475" s="214"/>
    </row>
    <row r="476" spans="24:27" ht="12.75" x14ac:dyDescent="0.2">
      <c r="X476" s="213"/>
      <c r="Y476" s="214"/>
      <c r="Z476" s="214"/>
      <c r="AA476" s="214"/>
    </row>
    <row r="477" spans="24:27" ht="12.75" x14ac:dyDescent="0.2">
      <c r="X477" s="213"/>
      <c r="Y477" s="214"/>
      <c r="Z477" s="214"/>
      <c r="AA477" s="214"/>
    </row>
    <row r="478" spans="24:27" ht="12.75" x14ac:dyDescent="0.2">
      <c r="X478" s="213"/>
      <c r="Y478" s="214"/>
      <c r="Z478" s="214"/>
      <c r="AA478" s="214"/>
    </row>
    <row r="479" spans="24:27" ht="12.75" x14ac:dyDescent="0.2">
      <c r="X479" s="213"/>
      <c r="Y479" s="214"/>
      <c r="Z479" s="214"/>
      <c r="AA479" s="214"/>
    </row>
    <row r="480" spans="24:27" ht="12.75" x14ac:dyDescent="0.2">
      <c r="X480" s="213"/>
      <c r="Y480" s="214"/>
      <c r="Z480" s="214"/>
      <c r="AA480" s="214"/>
    </row>
    <row r="481" spans="24:27" ht="12.75" x14ac:dyDescent="0.2">
      <c r="X481" s="213"/>
      <c r="Y481" s="214"/>
      <c r="Z481" s="214"/>
      <c r="AA481" s="214"/>
    </row>
    <row r="482" spans="24:27" ht="12.75" x14ac:dyDescent="0.2">
      <c r="X482" s="213"/>
      <c r="Y482" s="214"/>
      <c r="Z482" s="214"/>
      <c r="AA482" s="214"/>
    </row>
    <row r="483" spans="24:27" ht="12.75" x14ac:dyDescent="0.2">
      <c r="X483" s="213"/>
      <c r="Y483" s="214"/>
      <c r="Z483" s="214"/>
      <c r="AA483" s="214"/>
    </row>
    <row r="484" spans="24:27" ht="12.75" x14ac:dyDescent="0.2">
      <c r="X484" s="213"/>
      <c r="Y484" s="214"/>
      <c r="Z484" s="214"/>
      <c r="AA484" s="214"/>
    </row>
    <row r="485" spans="24:27" ht="12.75" x14ac:dyDescent="0.2">
      <c r="X485" s="213"/>
      <c r="Y485" s="214"/>
      <c r="Z485" s="214"/>
      <c r="AA485" s="214"/>
    </row>
    <row r="486" spans="24:27" ht="12.75" x14ac:dyDescent="0.2">
      <c r="X486" s="213"/>
      <c r="Y486" s="214"/>
      <c r="Z486" s="214"/>
      <c r="AA486" s="214"/>
    </row>
    <row r="487" spans="24:27" ht="12.75" x14ac:dyDescent="0.2">
      <c r="X487" s="213"/>
      <c r="Y487" s="214"/>
      <c r="Z487" s="214"/>
      <c r="AA487" s="214"/>
    </row>
    <row r="488" spans="24:27" ht="12.75" x14ac:dyDescent="0.2">
      <c r="X488" s="213"/>
      <c r="Y488" s="214"/>
      <c r="Z488" s="214"/>
      <c r="AA488" s="214"/>
    </row>
    <row r="489" spans="24:27" ht="12.75" x14ac:dyDescent="0.2">
      <c r="X489" s="213"/>
      <c r="Y489" s="214"/>
      <c r="Z489" s="214"/>
      <c r="AA489" s="214"/>
    </row>
    <row r="490" spans="24:27" ht="12.75" x14ac:dyDescent="0.2">
      <c r="X490" s="213"/>
      <c r="Y490" s="214"/>
      <c r="Z490" s="214"/>
      <c r="AA490" s="214"/>
    </row>
    <row r="491" spans="24:27" ht="12.75" x14ac:dyDescent="0.2">
      <c r="X491" s="213"/>
      <c r="Y491" s="214"/>
      <c r="Z491" s="214"/>
      <c r="AA491" s="214"/>
    </row>
    <row r="492" spans="24:27" ht="12.75" x14ac:dyDescent="0.2">
      <c r="X492" s="213"/>
      <c r="Y492" s="214"/>
      <c r="Z492" s="214"/>
      <c r="AA492" s="214"/>
    </row>
    <row r="493" spans="24:27" ht="12.75" x14ac:dyDescent="0.2">
      <c r="X493" s="213"/>
      <c r="Y493" s="214"/>
      <c r="Z493" s="214"/>
      <c r="AA493" s="214"/>
    </row>
    <row r="494" spans="24:27" ht="12.75" x14ac:dyDescent="0.2">
      <c r="X494" s="213"/>
      <c r="Y494" s="214"/>
      <c r="Z494" s="214"/>
      <c r="AA494" s="214"/>
    </row>
    <row r="495" spans="24:27" ht="12.75" x14ac:dyDescent="0.2">
      <c r="X495" s="213"/>
      <c r="Y495" s="214"/>
      <c r="Z495" s="214"/>
      <c r="AA495" s="214"/>
    </row>
    <row r="496" spans="24:27" ht="12.75" x14ac:dyDescent="0.2">
      <c r="X496" s="213"/>
      <c r="Y496" s="214"/>
      <c r="Z496" s="214"/>
      <c r="AA496" s="214"/>
    </row>
    <row r="497" spans="24:27" ht="12.75" x14ac:dyDescent="0.2">
      <c r="X497" s="213"/>
      <c r="Y497" s="214"/>
      <c r="Z497" s="214"/>
      <c r="AA497" s="214"/>
    </row>
    <row r="498" spans="24:27" ht="12.75" x14ac:dyDescent="0.2">
      <c r="X498" s="213"/>
      <c r="Y498" s="214"/>
      <c r="Z498" s="214"/>
      <c r="AA498" s="214"/>
    </row>
    <row r="499" spans="24:27" ht="12.75" x14ac:dyDescent="0.2">
      <c r="X499" s="213"/>
      <c r="Y499" s="214"/>
      <c r="Z499" s="214"/>
      <c r="AA499" s="214"/>
    </row>
    <row r="500" spans="24:27" ht="12.75" x14ac:dyDescent="0.2">
      <c r="X500" s="213"/>
      <c r="Y500" s="214"/>
      <c r="Z500" s="214"/>
      <c r="AA500" s="214"/>
    </row>
    <row r="501" spans="24:27" ht="12.75" x14ac:dyDescent="0.2">
      <c r="X501" s="213"/>
      <c r="Y501" s="214"/>
      <c r="Z501" s="214"/>
      <c r="AA501" s="214"/>
    </row>
    <row r="502" spans="24:27" ht="12.75" x14ac:dyDescent="0.2">
      <c r="X502" s="213"/>
      <c r="Y502" s="214"/>
      <c r="Z502" s="214"/>
      <c r="AA502" s="214"/>
    </row>
    <row r="503" spans="24:27" ht="12.75" x14ac:dyDescent="0.2">
      <c r="X503" s="213"/>
      <c r="Y503" s="214"/>
      <c r="Z503" s="214"/>
      <c r="AA503" s="214"/>
    </row>
    <row r="504" spans="24:27" ht="12.75" x14ac:dyDescent="0.2">
      <c r="X504" s="213"/>
      <c r="Y504" s="214"/>
      <c r="Z504" s="214"/>
      <c r="AA504" s="214"/>
    </row>
    <row r="505" spans="24:27" ht="12.75" x14ac:dyDescent="0.2">
      <c r="X505" s="213"/>
      <c r="Y505" s="214"/>
      <c r="Z505" s="214"/>
      <c r="AA505" s="214"/>
    </row>
    <row r="506" spans="24:27" ht="12.75" x14ac:dyDescent="0.2">
      <c r="X506" s="213"/>
      <c r="Y506" s="214"/>
      <c r="Z506" s="214"/>
      <c r="AA506" s="214"/>
    </row>
    <row r="507" spans="24:27" ht="12.75" x14ac:dyDescent="0.2">
      <c r="X507" s="213"/>
      <c r="Y507" s="214"/>
      <c r="Z507" s="214"/>
      <c r="AA507" s="214"/>
    </row>
    <row r="508" spans="24:27" ht="12.75" x14ac:dyDescent="0.2">
      <c r="X508" s="213"/>
      <c r="Y508" s="214"/>
      <c r="Z508" s="214"/>
      <c r="AA508" s="214"/>
    </row>
    <row r="509" spans="24:27" ht="12.75" x14ac:dyDescent="0.2">
      <c r="X509" s="213"/>
      <c r="Y509" s="214"/>
      <c r="Z509" s="214"/>
      <c r="AA509" s="214"/>
    </row>
    <row r="510" spans="24:27" ht="12.75" x14ac:dyDescent="0.2">
      <c r="X510" s="213"/>
      <c r="Y510" s="214"/>
      <c r="Z510" s="214"/>
      <c r="AA510" s="214"/>
    </row>
    <row r="511" spans="24:27" ht="12.75" x14ac:dyDescent="0.2">
      <c r="X511" s="213"/>
      <c r="Y511" s="214"/>
      <c r="Z511" s="214"/>
      <c r="AA511" s="214"/>
    </row>
    <row r="512" spans="24:27" ht="12.75" x14ac:dyDescent="0.2">
      <c r="X512" s="213"/>
      <c r="Y512" s="214"/>
      <c r="Z512" s="214"/>
      <c r="AA512" s="214"/>
    </row>
    <row r="513" spans="24:27" ht="12.75" x14ac:dyDescent="0.2">
      <c r="X513" s="213"/>
      <c r="Y513" s="214"/>
      <c r="Z513" s="214"/>
      <c r="AA513" s="214"/>
    </row>
    <row r="514" spans="24:27" ht="12.75" x14ac:dyDescent="0.2">
      <c r="X514" s="213"/>
      <c r="Y514" s="214"/>
      <c r="Z514" s="214"/>
      <c r="AA514" s="214"/>
    </row>
    <row r="515" spans="24:27" ht="12.75" x14ac:dyDescent="0.2">
      <c r="X515" s="213"/>
      <c r="Y515" s="214"/>
      <c r="Z515" s="214"/>
      <c r="AA515" s="214"/>
    </row>
    <row r="516" spans="24:27" ht="12.75" x14ac:dyDescent="0.2">
      <c r="X516" s="213"/>
      <c r="Y516" s="214"/>
      <c r="Z516" s="214"/>
      <c r="AA516" s="214"/>
    </row>
    <row r="517" spans="24:27" ht="12.75" x14ac:dyDescent="0.2">
      <c r="X517" s="213"/>
      <c r="Y517" s="214"/>
      <c r="Z517" s="214"/>
      <c r="AA517" s="214"/>
    </row>
    <row r="518" spans="24:27" ht="12.75" x14ac:dyDescent="0.2">
      <c r="X518" s="213"/>
      <c r="Y518" s="214"/>
      <c r="Z518" s="214"/>
      <c r="AA518" s="214"/>
    </row>
    <row r="519" spans="24:27" ht="12.75" x14ac:dyDescent="0.2">
      <c r="X519" s="213"/>
      <c r="Y519" s="214"/>
      <c r="Z519" s="214"/>
      <c r="AA519" s="214"/>
    </row>
    <row r="520" spans="24:27" ht="12.75" x14ac:dyDescent="0.2">
      <c r="X520" s="213"/>
      <c r="Y520" s="214"/>
      <c r="Z520" s="214"/>
      <c r="AA520" s="214"/>
    </row>
    <row r="521" spans="24:27" ht="12.75" x14ac:dyDescent="0.2">
      <c r="X521" s="213"/>
      <c r="Y521" s="214"/>
      <c r="Z521" s="214"/>
      <c r="AA521" s="214"/>
    </row>
    <row r="522" spans="24:27" ht="12.75" x14ac:dyDescent="0.2">
      <c r="X522" s="213"/>
      <c r="Y522" s="214"/>
      <c r="Z522" s="214"/>
      <c r="AA522" s="214"/>
    </row>
    <row r="523" spans="24:27" ht="12.75" x14ac:dyDescent="0.2">
      <c r="X523" s="213"/>
      <c r="Y523" s="214"/>
      <c r="Z523" s="214"/>
      <c r="AA523" s="214"/>
    </row>
    <row r="524" spans="24:27" ht="12.75" x14ac:dyDescent="0.2">
      <c r="X524" s="213"/>
      <c r="Y524" s="214"/>
      <c r="Z524" s="214"/>
      <c r="AA524" s="214"/>
    </row>
    <row r="525" spans="24:27" ht="12.75" x14ac:dyDescent="0.2">
      <c r="X525" s="213"/>
      <c r="Y525" s="214"/>
      <c r="Z525" s="214"/>
      <c r="AA525" s="214"/>
    </row>
    <row r="526" spans="24:27" ht="12.75" x14ac:dyDescent="0.2">
      <c r="X526" s="213"/>
      <c r="Y526" s="214"/>
      <c r="Z526" s="214"/>
      <c r="AA526" s="214"/>
    </row>
    <row r="527" spans="24:27" ht="12.75" x14ac:dyDescent="0.2">
      <c r="X527" s="213"/>
      <c r="Y527" s="214"/>
      <c r="Z527" s="214"/>
      <c r="AA527" s="214"/>
    </row>
    <row r="528" spans="24:27" ht="12.75" x14ac:dyDescent="0.2">
      <c r="X528" s="213"/>
      <c r="Y528" s="214"/>
      <c r="Z528" s="214"/>
      <c r="AA528" s="214"/>
    </row>
    <row r="529" spans="24:27" ht="12.75" x14ac:dyDescent="0.2">
      <c r="X529" s="213"/>
      <c r="Y529" s="214"/>
      <c r="Z529" s="214"/>
      <c r="AA529" s="214"/>
    </row>
    <row r="530" spans="24:27" ht="12.75" x14ac:dyDescent="0.2">
      <c r="X530" s="213"/>
      <c r="Y530" s="214"/>
      <c r="Z530" s="214"/>
      <c r="AA530" s="214"/>
    </row>
    <row r="531" spans="24:27" ht="12.75" x14ac:dyDescent="0.2">
      <c r="X531" s="213"/>
      <c r="Y531" s="214"/>
      <c r="Z531" s="214"/>
      <c r="AA531" s="214"/>
    </row>
    <row r="532" spans="24:27" ht="12.75" x14ac:dyDescent="0.2">
      <c r="X532" s="213"/>
      <c r="Y532" s="214"/>
      <c r="Z532" s="214"/>
      <c r="AA532" s="214"/>
    </row>
    <row r="533" spans="24:27" ht="12.75" x14ac:dyDescent="0.2">
      <c r="X533" s="213"/>
      <c r="Y533" s="214"/>
      <c r="Z533" s="214"/>
      <c r="AA533" s="214"/>
    </row>
    <row r="534" spans="24:27" ht="12.75" x14ac:dyDescent="0.2">
      <c r="X534" s="213"/>
      <c r="Y534" s="214"/>
      <c r="Z534" s="214"/>
      <c r="AA534" s="214"/>
    </row>
    <row r="535" spans="24:27" ht="12.75" x14ac:dyDescent="0.2">
      <c r="X535" s="213"/>
      <c r="Y535" s="214"/>
      <c r="Z535" s="214"/>
      <c r="AA535" s="214"/>
    </row>
    <row r="536" spans="24:27" ht="12.75" x14ac:dyDescent="0.2">
      <c r="X536" s="213"/>
      <c r="Y536" s="214"/>
      <c r="Z536" s="214"/>
      <c r="AA536" s="214"/>
    </row>
    <row r="537" spans="24:27" ht="12.75" x14ac:dyDescent="0.2">
      <c r="X537" s="213"/>
      <c r="Y537" s="214"/>
      <c r="Z537" s="214"/>
      <c r="AA537" s="214"/>
    </row>
    <row r="538" spans="24:27" ht="12.75" x14ac:dyDescent="0.2">
      <c r="X538" s="213"/>
      <c r="Y538" s="214"/>
      <c r="Z538" s="214"/>
      <c r="AA538" s="214"/>
    </row>
    <row r="539" spans="24:27" ht="12.75" x14ac:dyDescent="0.2">
      <c r="X539" s="213"/>
      <c r="Y539" s="214"/>
      <c r="Z539" s="214"/>
      <c r="AA539" s="214"/>
    </row>
    <row r="540" spans="24:27" ht="12.75" x14ac:dyDescent="0.2">
      <c r="X540" s="213"/>
      <c r="Y540" s="214"/>
      <c r="Z540" s="214"/>
      <c r="AA540" s="214"/>
    </row>
    <row r="541" spans="24:27" ht="12.75" x14ac:dyDescent="0.2">
      <c r="X541" s="213"/>
      <c r="Y541" s="214"/>
      <c r="Z541" s="214"/>
      <c r="AA541" s="214"/>
    </row>
    <row r="542" spans="24:27" ht="12.75" x14ac:dyDescent="0.2">
      <c r="X542" s="213"/>
      <c r="Y542" s="214"/>
      <c r="Z542" s="214"/>
      <c r="AA542" s="214"/>
    </row>
    <row r="543" spans="24:27" ht="12.75" x14ac:dyDescent="0.2">
      <c r="X543" s="213"/>
      <c r="Y543" s="214"/>
      <c r="Z543" s="214"/>
      <c r="AA543" s="214"/>
    </row>
    <row r="544" spans="24:27" ht="12.75" x14ac:dyDescent="0.2">
      <c r="X544" s="213"/>
      <c r="Y544" s="214"/>
      <c r="Z544" s="214"/>
      <c r="AA544" s="214"/>
    </row>
    <row r="545" spans="24:27" ht="12.75" x14ac:dyDescent="0.2">
      <c r="X545" s="213"/>
      <c r="Y545" s="214"/>
      <c r="Z545" s="214"/>
      <c r="AA545" s="214"/>
    </row>
    <row r="546" spans="24:27" ht="12.75" x14ac:dyDescent="0.2">
      <c r="X546" s="213"/>
      <c r="Y546" s="214"/>
      <c r="Z546" s="214"/>
      <c r="AA546" s="214"/>
    </row>
    <row r="547" spans="24:27" ht="12.75" x14ac:dyDescent="0.2">
      <c r="X547" s="213"/>
      <c r="Y547" s="214"/>
      <c r="Z547" s="214"/>
      <c r="AA547" s="214"/>
    </row>
    <row r="548" spans="24:27" ht="12.75" x14ac:dyDescent="0.2">
      <c r="X548" s="213"/>
      <c r="Y548" s="214"/>
      <c r="Z548" s="214"/>
      <c r="AA548" s="214"/>
    </row>
    <row r="549" spans="24:27" ht="12.75" x14ac:dyDescent="0.2">
      <c r="X549" s="213"/>
      <c r="Y549" s="214"/>
      <c r="Z549" s="214"/>
      <c r="AA549" s="214"/>
    </row>
    <row r="550" spans="24:27" ht="12.75" x14ac:dyDescent="0.2">
      <c r="X550" s="213"/>
      <c r="Y550" s="214"/>
      <c r="Z550" s="214"/>
      <c r="AA550" s="214"/>
    </row>
    <row r="551" spans="24:27" ht="12.75" x14ac:dyDescent="0.2">
      <c r="X551" s="213"/>
      <c r="Y551" s="214"/>
      <c r="Z551" s="214"/>
      <c r="AA551" s="214"/>
    </row>
    <row r="552" spans="24:27" ht="12.75" x14ac:dyDescent="0.2">
      <c r="X552" s="213"/>
      <c r="Y552" s="214"/>
      <c r="Z552" s="214"/>
      <c r="AA552" s="214"/>
    </row>
    <row r="553" spans="24:27" ht="12.75" x14ac:dyDescent="0.2">
      <c r="X553" s="213"/>
      <c r="Y553" s="214"/>
      <c r="Z553" s="214"/>
      <c r="AA553" s="214"/>
    </row>
    <row r="554" spans="24:27" ht="12.75" x14ac:dyDescent="0.2">
      <c r="X554" s="213"/>
      <c r="Y554" s="214"/>
      <c r="Z554" s="214"/>
      <c r="AA554" s="214"/>
    </row>
    <row r="555" spans="24:27" ht="12.75" x14ac:dyDescent="0.2">
      <c r="X555" s="213"/>
      <c r="Y555" s="214"/>
      <c r="Z555" s="214"/>
      <c r="AA555" s="214"/>
    </row>
    <row r="556" spans="24:27" ht="12.75" x14ac:dyDescent="0.2">
      <c r="X556" s="213"/>
      <c r="Y556" s="214"/>
      <c r="Z556" s="214"/>
      <c r="AA556" s="214"/>
    </row>
    <row r="557" spans="24:27" ht="12.75" x14ac:dyDescent="0.2">
      <c r="X557" s="213"/>
      <c r="Y557" s="214"/>
      <c r="Z557" s="214"/>
      <c r="AA557" s="214"/>
    </row>
    <row r="558" spans="24:27" ht="12.75" x14ac:dyDescent="0.2">
      <c r="X558" s="213"/>
      <c r="Y558" s="214"/>
      <c r="Z558" s="214"/>
      <c r="AA558" s="214"/>
    </row>
    <row r="559" spans="24:27" ht="12.75" x14ac:dyDescent="0.2">
      <c r="X559" s="213"/>
      <c r="Y559" s="214"/>
      <c r="Z559" s="214"/>
      <c r="AA559" s="214"/>
    </row>
    <row r="560" spans="24:27" ht="12.75" x14ac:dyDescent="0.2">
      <c r="X560" s="213"/>
      <c r="Y560" s="214"/>
      <c r="Z560" s="214"/>
      <c r="AA560" s="214"/>
    </row>
    <row r="561" spans="24:27" ht="12.75" x14ac:dyDescent="0.2">
      <c r="X561" s="213"/>
      <c r="Y561" s="214"/>
      <c r="Z561" s="214"/>
      <c r="AA561" s="214"/>
    </row>
    <row r="562" spans="24:27" ht="12.75" x14ac:dyDescent="0.2">
      <c r="X562" s="213"/>
      <c r="Y562" s="214"/>
      <c r="Z562" s="214"/>
      <c r="AA562" s="214"/>
    </row>
    <row r="563" spans="24:27" ht="12.75" x14ac:dyDescent="0.2">
      <c r="X563" s="213"/>
      <c r="Y563" s="214"/>
      <c r="Z563" s="214"/>
      <c r="AA563" s="214"/>
    </row>
    <row r="564" spans="24:27" ht="12.75" x14ac:dyDescent="0.2">
      <c r="X564" s="213"/>
      <c r="Y564" s="214"/>
      <c r="Z564" s="214"/>
      <c r="AA564" s="214"/>
    </row>
    <row r="565" spans="24:27" ht="12.75" x14ac:dyDescent="0.2">
      <c r="X565" s="213"/>
      <c r="Y565" s="214"/>
      <c r="Z565" s="214"/>
      <c r="AA565" s="214"/>
    </row>
    <row r="566" spans="24:27" ht="12.75" x14ac:dyDescent="0.2">
      <c r="X566" s="213"/>
      <c r="Y566" s="214"/>
      <c r="Z566" s="214"/>
      <c r="AA566" s="214"/>
    </row>
    <row r="567" spans="24:27" ht="12.75" x14ac:dyDescent="0.2">
      <c r="X567" s="213"/>
      <c r="Y567" s="214"/>
      <c r="Z567" s="214"/>
      <c r="AA567" s="214"/>
    </row>
    <row r="568" spans="24:27" ht="12.75" x14ac:dyDescent="0.2">
      <c r="X568" s="213"/>
      <c r="Y568" s="214"/>
      <c r="Z568" s="214"/>
      <c r="AA568" s="214"/>
    </row>
    <row r="569" spans="24:27" ht="12.75" x14ac:dyDescent="0.2">
      <c r="X569" s="213"/>
      <c r="Y569" s="214"/>
      <c r="Z569" s="214"/>
      <c r="AA569" s="214"/>
    </row>
    <row r="570" spans="24:27" ht="12.75" x14ac:dyDescent="0.2">
      <c r="X570" s="213"/>
      <c r="Y570" s="214"/>
      <c r="Z570" s="214"/>
      <c r="AA570" s="214"/>
    </row>
    <row r="571" spans="24:27" ht="12.75" x14ac:dyDescent="0.2">
      <c r="X571" s="213"/>
      <c r="Y571" s="214"/>
      <c r="Z571" s="214"/>
      <c r="AA571" s="214"/>
    </row>
    <row r="572" spans="24:27" ht="12.75" x14ac:dyDescent="0.2">
      <c r="X572" s="213"/>
      <c r="Y572" s="214"/>
      <c r="Z572" s="214"/>
      <c r="AA572" s="214"/>
    </row>
    <row r="573" spans="24:27" ht="12.75" x14ac:dyDescent="0.2">
      <c r="X573" s="213"/>
      <c r="Y573" s="214"/>
      <c r="Z573" s="214"/>
      <c r="AA573" s="214"/>
    </row>
    <row r="574" spans="24:27" ht="12.75" x14ac:dyDescent="0.2">
      <c r="X574" s="213"/>
      <c r="Y574" s="214"/>
      <c r="Z574" s="214"/>
      <c r="AA574" s="214"/>
    </row>
    <row r="575" spans="24:27" ht="12.75" x14ac:dyDescent="0.2">
      <c r="X575" s="213"/>
      <c r="Y575" s="214"/>
      <c r="Z575" s="214"/>
      <c r="AA575" s="214"/>
    </row>
    <row r="576" spans="24:27" ht="12.75" x14ac:dyDescent="0.2">
      <c r="X576" s="213"/>
      <c r="Y576" s="214"/>
      <c r="Z576" s="214"/>
      <c r="AA576" s="214"/>
    </row>
    <row r="577" spans="24:27" ht="12.75" x14ac:dyDescent="0.2">
      <c r="X577" s="213"/>
      <c r="Y577" s="214"/>
      <c r="Z577" s="214"/>
      <c r="AA577" s="214"/>
    </row>
    <row r="578" spans="24:27" ht="12.75" x14ac:dyDescent="0.2">
      <c r="X578" s="213"/>
      <c r="Y578" s="214"/>
      <c r="Z578" s="214"/>
      <c r="AA578" s="214"/>
    </row>
    <row r="579" spans="24:27" ht="12.75" x14ac:dyDescent="0.2">
      <c r="X579" s="213"/>
      <c r="Y579" s="214"/>
      <c r="Z579" s="214"/>
      <c r="AA579" s="214"/>
    </row>
    <row r="580" spans="24:27" ht="12.75" x14ac:dyDescent="0.2">
      <c r="X580" s="213"/>
      <c r="Y580" s="214"/>
      <c r="Z580" s="214"/>
      <c r="AA580" s="214"/>
    </row>
    <row r="581" spans="24:27" ht="12.75" x14ac:dyDescent="0.2">
      <c r="X581" s="213"/>
      <c r="Y581" s="214"/>
      <c r="Z581" s="214"/>
      <c r="AA581" s="214"/>
    </row>
    <row r="582" spans="24:27" ht="12.75" x14ac:dyDescent="0.2">
      <c r="X582" s="213"/>
      <c r="Y582" s="214"/>
      <c r="Z582" s="214"/>
      <c r="AA582" s="214"/>
    </row>
    <row r="583" spans="24:27" ht="12.75" x14ac:dyDescent="0.2">
      <c r="X583" s="213"/>
      <c r="Y583" s="214"/>
      <c r="Z583" s="214"/>
      <c r="AA583" s="214"/>
    </row>
    <row r="584" spans="24:27" ht="12.75" x14ac:dyDescent="0.2">
      <c r="X584" s="213"/>
      <c r="Y584" s="214"/>
      <c r="Z584" s="214"/>
      <c r="AA584" s="214"/>
    </row>
    <row r="585" spans="24:27" ht="12.75" x14ac:dyDescent="0.2">
      <c r="X585" s="213"/>
      <c r="Y585" s="214"/>
      <c r="Z585" s="214"/>
      <c r="AA585" s="214"/>
    </row>
    <row r="586" spans="24:27" ht="12.75" x14ac:dyDescent="0.2">
      <c r="X586" s="213"/>
      <c r="Y586" s="214"/>
      <c r="Z586" s="214"/>
      <c r="AA586" s="214"/>
    </row>
    <row r="587" spans="24:27" ht="12.75" x14ac:dyDescent="0.2">
      <c r="X587" s="213"/>
      <c r="Y587" s="214"/>
      <c r="Z587" s="214"/>
      <c r="AA587" s="214"/>
    </row>
    <row r="588" spans="24:27" ht="12.75" x14ac:dyDescent="0.2">
      <c r="X588" s="213"/>
      <c r="Y588" s="214"/>
      <c r="Z588" s="214"/>
      <c r="AA588" s="214"/>
    </row>
    <row r="589" spans="24:27" ht="12.75" x14ac:dyDescent="0.2">
      <c r="X589" s="213"/>
      <c r="Y589" s="214"/>
      <c r="Z589" s="214"/>
      <c r="AA589" s="214"/>
    </row>
    <row r="590" spans="24:27" ht="12.75" x14ac:dyDescent="0.2">
      <c r="X590" s="213"/>
      <c r="Y590" s="214"/>
      <c r="Z590" s="214"/>
      <c r="AA590" s="214"/>
    </row>
    <row r="591" spans="24:27" ht="12.75" x14ac:dyDescent="0.2">
      <c r="X591" s="213"/>
      <c r="Y591" s="214"/>
      <c r="Z591" s="214"/>
      <c r="AA591" s="214"/>
    </row>
    <row r="592" spans="24:27" ht="12.75" x14ac:dyDescent="0.2">
      <c r="X592" s="213"/>
      <c r="Y592" s="214"/>
      <c r="Z592" s="214"/>
      <c r="AA592" s="214"/>
    </row>
    <row r="593" spans="24:27" ht="12.75" x14ac:dyDescent="0.2">
      <c r="X593" s="213"/>
      <c r="Y593" s="214"/>
      <c r="Z593" s="214"/>
      <c r="AA593" s="214"/>
    </row>
    <row r="594" spans="24:27" ht="12.75" x14ac:dyDescent="0.2">
      <c r="X594" s="213"/>
      <c r="Y594" s="214"/>
      <c r="Z594" s="214"/>
      <c r="AA594" s="214"/>
    </row>
    <row r="595" spans="24:27" ht="12.75" x14ac:dyDescent="0.2">
      <c r="X595" s="213"/>
      <c r="Y595" s="214"/>
      <c r="Z595" s="214"/>
      <c r="AA595" s="214"/>
    </row>
    <row r="596" spans="24:27" ht="12.75" x14ac:dyDescent="0.2">
      <c r="X596" s="213"/>
      <c r="Y596" s="214"/>
      <c r="Z596" s="214"/>
      <c r="AA596" s="214"/>
    </row>
    <row r="597" spans="24:27" ht="12.75" x14ac:dyDescent="0.2">
      <c r="X597" s="213"/>
      <c r="Y597" s="214"/>
      <c r="Z597" s="214"/>
      <c r="AA597" s="214"/>
    </row>
    <row r="598" spans="24:27" ht="12.75" x14ac:dyDescent="0.2">
      <c r="X598" s="213"/>
      <c r="Y598" s="214"/>
      <c r="Z598" s="214"/>
      <c r="AA598" s="214"/>
    </row>
    <row r="599" spans="24:27" ht="12.75" x14ac:dyDescent="0.2">
      <c r="X599" s="213"/>
      <c r="Y599" s="214"/>
      <c r="Z599" s="214"/>
      <c r="AA599" s="214"/>
    </row>
    <row r="600" spans="24:27" ht="12.75" x14ac:dyDescent="0.2">
      <c r="X600" s="213"/>
      <c r="Y600" s="214"/>
      <c r="Z600" s="214"/>
      <c r="AA600" s="214"/>
    </row>
    <row r="601" spans="24:27" ht="12.75" x14ac:dyDescent="0.2">
      <c r="X601" s="213"/>
      <c r="Y601" s="214"/>
      <c r="Z601" s="214"/>
      <c r="AA601" s="214"/>
    </row>
    <row r="602" spans="24:27" ht="12.75" x14ac:dyDescent="0.2">
      <c r="X602" s="213"/>
      <c r="Y602" s="214"/>
      <c r="Z602" s="214"/>
      <c r="AA602" s="214"/>
    </row>
    <row r="603" spans="24:27" ht="12.75" x14ac:dyDescent="0.2">
      <c r="X603" s="213"/>
      <c r="Y603" s="214"/>
      <c r="Z603" s="214"/>
      <c r="AA603" s="214"/>
    </row>
    <row r="604" spans="24:27" ht="12.75" x14ac:dyDescent="0.2">
      <c r="X604" s="213"/>
      <c r="Y604" s="214"/>
      <c r="Z604" s="214"/>
      <c r="AA604" s="214"/>
    </row>
    <row r="605" spans="24:27" ht="12.75" x14ac:dyDescent="0.2">
      <c r="X605" s="213"/>
      <c r="Y605" s="214"/>
      <c r="Z605" s="214"/>
      <c r="AA605" s="214"/>
    </row>
    <row r="606" spans="24:27" ht="12.75" x14ac:dyDescent="0.2">
      <c r="X606" s="213"/>
      <c r="Y606" s="214"/>
      <c r="Z606" s="214"/>
      <c r="AA606" s="214"/>
    </row>
    <row r="607" spans="24:27" ht="12.75" x14ac:dyDescent="0.2">
      <c r="X607" s="213"/>
      <c r="Y607" s="214"/>
      <c r="Z607" s="214"/>
      <c r="AA607" s="214"/>
    </row>
    <row r="608" spans="24:27" ht="12.75" x14ac:dyDescent="0.2">
      <c r="X608" s="213"/>
      <c r="Y608" s="214"/>
      <c r="Z608" s="214"/>
      <c r="AA608" s="214"/>
    </row>
    <row r="609" spans="24:27" ht="12.75" x14ac:dyDescent="0.2">
      <c r="X609" s="213"/>
      <c r="Y609" s="214"/>
      <c r="Z609" s="214"/>
      <c r="AA609" s="214"/>
    </row>
    <row r="610" spans="24:27" ht="12.75" x14ac:dyDescent="0.2">
      <c r="X610" s="213"/>
      <c r="Y610" s="214"/>
      <c r="Z610" s="214"/>
      <c r="AA610" s="214"/>
    </row>
    <row r="611" spans="24:27" ht="12.75" x14ac:dyDescent="0.2">
      <c r="X611" s="213"/>
      <c r="Y611" s="214"/>
      <c r="Z611" s="214"/>
      <c r="AA611" s="214"/>
    </row>
    <row r="612" spans="24:27" ht="12.75" x14ac:dyDescent="0.2">
      <c r="X612" s="213"/>
      <c r="Y612" s="214"/>
      <c r="Z612" s="214"/>
      <c r="AA612" s="214"/>
    </row>
    <row r="613" spans="24:27" ht="12.75" x14ac:dyDescent="0.2">
      <c r="X613" s="213"/>
      <c r="Y613" s="214"/>
      <c r="Z613" s="214"/>
      <c r="AA613" s="214"/>
    </row>
    <row r="614" spans="24:27" ht="12.75" x14ac:dyDescent="0.2">
      <c r="X614" s="213"/>
      <c r="Y614" s="214"/>
      <c r="Z614" s="214"/>
      <c r="AA614" s="214"/>
    </row>
    <row r="615" spans="24:27" ht="12.75" x14ac:dyDescent="0.2">
      <c r="X615" s="213"/>
      <c r="Y615" s="214"/>
      <c r="Z615" s="214"/>
      <c r="AA615" s="214"/>
    </row>
    <row r="616" spans="24:27" ht="12.75" x14ac:dyDescent="0.2">
      <c r="X616" s="213"/>
      <c r="Y616" s="214"/>
      <c r="Z616" s="214"/>
      <c r="AA616" s="214"/>
    </row>
    <row r="617" spans="24:27" ht="12.75" x14ac:dyDescent="0.2">
      <c r="X617" s="213"/>
      <c r="Y617" s="214"/>
      <c r="Z617" s="214"/>
      <c r="AA617" s="214"/>
    </row>
    <row r="618" spans="24:27" ht="12.75" x14ac:dyDescent="0.2">
      <c r="X618" s="213"/>
      <c r="Y618" s="214"/>
      <c r="Z618" s="214"/>
      <c r="AA618" s="214"/>
    </row>
    <row r="619" spans="24:27" ht="12.75" x14ac:dyDescent="0.2">
      <c r="X619" s="213"/>
      <c r="Y619" s="214"/>
      <c r="Z619" s="214"/>
      <c r="AA619" s="214"/>
    </row>
    <row r="620" spans="24:27" ht="12.75" x14ac:dyDescent="0.2">
      <c r="X620" s="213"/>
      <c r="Y620" s="214"/>
      <c r="Z620" s="214"/>
      <c r="AA620" s="214"/>
    </row>
    <row r="621" spans="24:27" ht="12.75" x14ac:dyDescent="0.2">
      <c r="X621" s="213"/>
      <c r="Y621" s="214"/>
      <c r="Z621" s="214"/>
      <c r="AA621" s="214"/>
    </row>
    <row r="622" spans="24:27" ht="12.75" x14ac:dyDescent="0.2">
      <c r="X622" s="213"/>
      <c r="Y622" s="214"/>
      <c r="Z622" s="214"/>
      <c r="AA622" s="214"/>
    </row>
    <row r="623" spans="24:27" ht="12.75" x14ac:dyDescent="0.2">
      <c r="X623" s="213"/>
      <c r="Y623" s="214"/>
      <c r="Z623" s="214"/>
      <c r="AA623" s="214"/>
    </row>
    <row r="624" spans="24:27" ht="12.75" x14ac:dyDescent="0.2">
      <c r="X624" s="213"/>
      <c r="Y624" s="214"/>
      <c r="Z624" s="214"/>
      <c r="AA624" s="214"/>
    </row>
    <row r="625" spans="24:27" ht="12.75" x14ac:dyDescent="0.2">
      <c r="X625" s="213"/>
      <c r="Y625" s="214"/>
      <c r="Z625" s="214"/>
      <c r="AA625" s="214"/>
    </row>
    <row r="626" spans="24:27" ht="12.75" x14ac:dyDescent="0.2">
      <c r="X626" s="213"/>
      <c r="Y626" s="214"/>
      <c r="Z626" s="214"/>
      <c r="AA626" s="214"/>
    </row>
    <row r="627" spans="24:27" ht="12.75" x14ac:dyDescent="0.2">
      <c r="X627" s="213"/>
      <c r="Y627" s="214"/>
      <c r="Z627" s="214"/>
      <c r="AA627" s="214"/>
    </row>
    <row r="628" spans="24:27" ht="12.75" x14ac:dyDescent="0.2">
      <c r="X628" s="213"/>
      <c r="Y628" s="214"/>
      <c r="Z628" s="214"/>
      <c r="AA628" s="214"/>
    </row>
    <row r="629" spans="24:27" ht="12.75" x14ac:dyDescent="0.2">
      <c r="X629" s="213"/>
      <c r="Y629" s="214"/>
      <c r="Z629" s="214"/>
      <c r="AA629" s="214"/>
    </row>
    <row r="630" spans="24:27" ht="12.75" x14ac:dyDescent="0.2">
      <c r="X630" s="213"/>
      <c r="Y630" s="214"/>
      <c r="Z630" s="214"/>
      <c r="AA630" s="214"/>
    </row>
    <row r="631" spans="24:27" ht="12.75" x14ac:dyDescent="0.2">
      <c r="X631" s="213"/>
      <c r="Y631" s="214"/>
      <c r="Z631" s="214"/>
      <c r="AA631" s="214"/>
    </row>
    <row r="632" spans="24:27" ht="12.75" x14ac:dyDescent="0.2">
      <c r="X632" s="213"/>
      <c r="Y632" s="214"/>
      <c r="Z632" s="214"/>
      <c r="AA632" s="214"/>
    </row>
    <row r="633" spans="24:27" ht="12.75" x14ac:dyDescent="0.2">
      <c r="X633" s="213"/>
      <c r="Y633" s="214"/>
      <c r="Z633" s="214"/>
      <c r="AA633" s="214"/>
    </row>
    <row r="634" spans="24:27" ht="12.75" x14ac:dyDescent="0.2">
      <c r="X634" s="213"/>
      <c r="Y634" s="214"/>
      <c r="Z634" s="214"/>
      <c r="AA634" s="214"/>
    </row>
    <row r="635" spans="24:27" ht="12.75" x14ac:dyDescent="0.2">
      <c r="X635" s="213"/>
      <c r="Y635" s="214"/>
      <c r="Z635" s="214"/>
      <c r="AA635" s="214"/>
    </row>
    <row r="636" spans="24:27" ht="12.75" x14ac:dyDescent="0.2">
      <c r="X636" s="213"/>
      <c r="Y636" s="214"/>
      <c r="Z636" s="214"/>
      <c r="AA636" s="214"/>
    </row>
    <row r="637" spans="24:27" ht="12.75" x14ac:dyDescent="0.2">
      <c r="X637" s="213"/>
      <c r="Y637" s="214"/>
      <c r="Z637" s="214"/>
      <c r="AA637" s="214"/>
    </row>
    <row r="638" spans="24:27" ht="12.75" x14ac:dyDescent="0.2">
      <c r="X638" s="213"/>
      <c r="Y638" s="214"/>
      <c r="Z638" s="214"/>
      <c r="AA638" s="214"/>
    </row>
    <row r="639" spans="24:27" ht="12.75" x14ac:dyDescent="0.2">
      <c r="X639" s="213"/>
      <c r="Y639" s="214"/>
      <c r="Z639" s="214"/>
      <c r="AA639" s="214"/>
    </row>
    <row r="640" spans="24:27" ht="12.75" x14ac:dyDescent="0.2">
      <c r="X640" s="213"/>
      <c r="Y640" s="214"/>
      <c r="Z640" s="214"/>
      <c r="AA640" s="214"/>
    </row>
    <row r="641" spans="24:27" ht="12.75" x14ac:dyDescent="0.2">
      <c r="X641" s="213"/>
      <c r="Y641" s="214"/>
      <c r="Z641" s="214"/>
      <c r="AA641" s="214"/>
    </row>
    <row r="642" spans="24:27" ht="12.75" x14ac:dyDescent="0.2">
      <c r="X642" s="213"/>
      <c r="Y642" s="214"/>
      <c r="Z642" s="214"/>
      <c r="AA642" s="214"/>
    </row>
    <row r="643" spans="24:27" ht="12.75" x14ac:dyDescent="0.2">
      <c r="X643" s="213"/>
      <c r="Y643" s="214"/>
      <c r="Z643" s="214"/>
      <c r="AA643" s="214"/>
    </row>
    <row r="644" spans="24:27" ht="12.75" x14ac:dyDescent="0.2">
      <c r="X644" s="213"/>
      <c r="Y644" s="214"/>
      <c r="Z644" s="214"/>
      <c r="AA644" s="214"/>
    </row>
    <row r="645" spans="24:27" ht="12.75" x14ac:dyDescent="0.2">
      <c r="X645" s="213"/>
      <c r="Y645" s="214"/>
      <c r="Z645" s="214"/>
      <c r="AA645" s="214"/>
    </row>
    <row r="646" spans="24:27" ht="12.75" x14ac:dyDescent="0.2">
      <c r="X646" s="213"/>
      <c r="Y646" s="214"/>
      <c r="Z646" s="214"/>
      <c r="AA646" s="214"/>
    </row>
    <row r="647" spans="24:27" ht="12.75" x14ac:dyDescent="0.2">
      <c r="X647" s="213"/>
      <c r="Y647" s="214"/>
      <c r="Z647" s="214"/>
      <c r="AA647" s="214"/>
    </row>
    <row r="648" spans="24:27" ht="12.75" x14ac:dyDescent="0.2">
      <c r="X648" s="213"/>
      <c r="Y648" s="214"/>
      <c r="Z648" s="214"/>
      <c r="AA648" s="214"/>
    </row>
    <row r="649" spans="24:27" ht="12.75" x14ac:dyDescent="0.2">
      <c r="X649" s="213"/>
      <c r="Y649" s="214"/>
      <c r="Z649" s="214"/>
      <c r="AA649" s="214"/>
    </row>
    <row r="650" spans="24:27" ht="12.75" x14ac:dyDescent="0.2">
      <c r="X650" s="213"/>
      <c r="Y650" s="214"/>
      <c r="Z650" s="214"/>
      <c r="AA650" s="214"/>
    </row>
    <row r="651" spans="24:27" ht="12.75" x14ac:dyDescent="0.2">
      <c r="X651" s="213"/>
      <c r="Y651" s="214"/>
      <c r="Z651" s="214"/>
      <c r="AA651" s="214"/>
    </row>
    <row r="652" spans="24:27" ht="12.75" x14ac:dyDescent="0.2">
      <c r="X652" s="213"/>
      <c r="Y652" s="214"/>
      <c r="Z652" s="214"/>
      <c r="AA652" s="214"/>
    </row>
    <row r="653" spans="24:27" ht="12.75" x14ac:dyDescent="0.2">
      <c r="X653" s="213"/>
      <c r="Y653" s="214"/>
      <c r="Z653" s="214"/>
      <c r="AA653" s="214"/>
    </row>
    <row r="654" spans="24:27" ht="12.75" x14ac:dyDescent="0.2">
      <c r="X654" s="213"/>
      <c r="Y654" s="214"/>
      <c r="Z654" s="214"/>
      <c r="AA654" s="214"/>
    </row>
    <row r="655" spans="24:27" ht="12.75" x14ac:dyDescent="0.2">
      <c r="X655" s="213"/>
      <c r="Y655" s="214"/>
      <c r="Z655" s="214"/>
      <c r="AA655" s="214"/>
    </row>
    <row r="656" spans="24:27" ht="12.75" x14ac:dyDescent="0.2">
      <c r="X656" s="213"/>
      <c r="Y656" s="214"/>
      <c r="Z656" s="214"/>
      <c r="AA656" s="214"/>
    </row>
    <row r="657" spans="24:27" ht="12.75" x14ac:dyDescent="0.2">
      <c r="X657" s="213"/>
      <c r="Y657" s="214"/>
      <c r="Z657" s="214"/>
      <c r="AA657" s="214"/>
    </row>
    <row r="658" spans="24:27" ht="12.75" x14ac:dyDescent="0.2">
      <c r="X658" s="213"/>
      <c r="Y658" s="214"/>
      <c r="Z658" s="214"/>
      <c r="AA658" s="214"/>
    </row>
    <row r="659" spans="24:27" ht="12.75" x14ac:dyDescent="0.2">
      <c r="X659" s="213"/>
      <c r="Y659" s="214"/>
      <c r="Z659" s="214"/>
      <c r="AA659" s="214"/>
    </row>
    <row r="660" spans="24:27" ht="12.75" x14ac:dyDescent="0.2">
      <c r="X660" s="213"/>
      <c r="Y660" s="214"/>
      <c r="Z660" s="214"/>
      <c r="AA660" s="214"/>
    </row>
    <row r="661" spans="24:27" ht="12.75" x14ac:dyDescent="0.2">
      <c r="X661" s="213"/>
      <c r="Y661" s="214"/>
      <c r="Z661" s="214"/>
      <c r="AA661" s="214"/>
    </row>
    <row r="662" spans="24:27" ht="12.75" x14ac:dyDescent="0.2">
      <c r="X662" s="213"/>
      <c r="Y662" s="214"/>
      <c r="Z662" s="214"/>
      <c r="AA662" s="214"/>
    </row>
    <row r="663" spans="24:27" ht="12.75" x14ac:dyDescent="0.2">
      <c r="X663" s="213"/>
      <c r="Y663" s="214"/>
      <c r="Z663" s="214"/>
      <c r="AA663" s="214"/>
    </row>
    <row r="664" spans="24:27" ht="12.75" x14ac:dyDescent="0.2">
      <c r="X664" s="213"/>
      <c r="Y664" s="214"/>
      <c r="Z664" s="214"/>
      <c r="AA664" s="214"/>
    </row>
    <row r="665" spans="24:27" ht="12.75" x14ac:dyDescent="0.2">
      <c r="X665" s="213"/>
      <c r="Y665" s="214"/>
      <c r="Z665" s="214"/>
      <c r="AA665" s="214"/>
    </row>
    <row r="666" spans="24:27" ht="12.75" x14ac:dyDescent="0.2">
      <c r="X666" s="213"/>
      <c r="Y666" s="214"/>
      <c r="Z666" s="214"/>
      <c r="AA666" s="214"/>
    </row>
    <row r="667" spans="24:27" ht="12.75" x14ac:dyDescent="0.2">
      <c r="X667" s="213"/>
      <c r="Y667" s="214"/>
      <c r="Z667" s="214"/>
      <c r="AA667" s="214"/>
    </row>
    <row r="668" spans="24:27" ht="12.75" x14ac:dyDescent="0.2">
      <c r="X668" s="213"/>
      <c r="Y668" s="214"/>
      <c r="Z668" s="214"/>
      <c r="AA668" s="214"/>
    </row>
    <row r="669" spans="24:27" ht="12.75" x14ac:dyDescent="0.2">
      <c r="X669" s="213"/>
      <c r="Y669" s="214"/>
      <c r="Z669" s="214"/>
      <c r="AA669" s="214"/>
    </row>
    <row r="670" spans="24:27" ht="12.75" x14ac:dyDescent="0.2">
      <c r="X670" s="213"/>
      <c r="Y670" s="214"/>
      <c r="Z670" s="214"/>
      <c r="AA670" s="214"/>
    </row>
    <row r="671" spans="24:27" ht="12.75" x14ac:dyDescent="0.2">
      <c r="X671" s="213"/>
      <c r="Y671" s="214"/>
      <c r="Z671" s="214"/>
      <c r="AA671" s="214"/>
    </row>
    <row r="672" spans="24:27" ht="12.75" x14ac:dyDescent="0.2">
      <c r="X672" s="213"/>
      <c r="Y672" s="214"/>
      <c r="Z672" s="214"/>
      <c r="AA672" s="214"/>
    </row>
    <row r="673" spans="24:27" ht="12.75" x14ac:dyDescent="0.2">
      <c r="X673" s="213"/>
      <c r="Y673" s="214"/>
      <c r="Z673" s="214"/>
      <c r="AA673" s="214"/>
    </row>
    <row r="674" spans="24:27" ht="12.75" x14ac:dyDescent="0.2">
      <c r="X674" s="213"/>
      <c r="Y674" s="214"/>
      <c r="Z674" s="214"/>
      <c r="AA674" s="214"/>
    </row>
    <row r="675" spans="24:27" ht="12.75" x14ac:dyDescent="0.2">
      <c r="X675" s="213"/>
      <c r="Y675" s="214"/>
      <c r="Z675" s="214"/>
      <c r="AA675" s="214"/>
    </row>
    <row r="676" spans="24:27" ht="12.75" x14ac:dyDescent="0.2">
      <c r="X676" s="213"/>
      <c r="Y676" s="214"/>
      <c r="Z676" s="214"/>
      <c r="AA676" s="214"/>
    </row>
    <row r="677" spans="24:27" ht="12.75" x14ac:dyDescent="0.2">
      <c r="X677" s="213"/>
      <c r="Y677" s="214"/>
      <c r="Z677" s="214"/>
      <c r="AA677" s="214"/>
    </row>
    <row r="678" spans="24:27" ht="12.75" x14ac:dyDescent="0.2">
      <c r="X678" s="213"/>
      <c r="Y678" s="214"/>
      <c r="Z678" s="214"/>
      <c r="AA678" s="214"/>
    </row>
    <row r="679" spans="24:27" ht="12.75" x14ac:dyDescent="0.2">
      <c r="X679" s="213"/>
      <c r="Y679" s="214"/>
      <c r="Z679" s="214"/>
      <c r="AA679" s="214"/>
    </row>
    <row r="680" spans="24:27" ht="12.75" x14ac:dyDescent="0.2">
      <c r="X680" s="213"/>
      <c r="Y680" s="214"/>
      <c r="Z680" s="214"/>
      <c r="AA680" s="214"/>
    </row>
    <row r="681" spans="24:27" ht="12.75" x14ac:dyDescent="0.2">
      <c r="X681" s="213"/>
      <c r="Y681" s="214"/>
      <c r="Z681" s="214"/>
      <c r="AA681" s="214"/>
    </row>
    <row r="682" spans="24:27" ht="12.75" x14ac:dyDescent="0.2">
      <c r="X682" s="213"/>
      <c r="Y682" s="214"/>
      <c r="Z682" s="214"/>
      <c r="AA682" s="214"/>
    </row>
    <row r="683" spans="24:27" ht="12.75" x14ac:dyDescent="0.2">
      <c r="X683" s="213"/>
      <c r="Y683" s="214"/>
      <c r="Z683" s="214"/>
      <c r="AA683" s="214"/>
    </row>
    <row r="684" spans="24:27" ht="12.75" x14ac:dyDescent="0.2">
      <c r="X684" s="213"/>
      <c r="Y684" s="214"/>
      <c r="Z684" s="214"/>
      <c r="AA684" s="214"/>
    </row>
    <row r="685" spans="24:27" ht="12.75" x14ac:dyDescent="0.2">
      <c r="X685" s="213"/>
      <c r="Y685" s="214"/>
      <c r="Z685" s="214"/>
      <c r="AA685" s="214"/>
    </row>
    <row r="686" spans="24:27" ht="12.75" x14ac:dyDescent="0.2">
      <c r="X686" s="213"/>
      <c r="Y686" s="214"/>
      <c r="Z686" s="214"/>
      <c r="AA686" s="214"/>
    </row>
    <row r="687" spans="24:27" ht="12.75" x14ac:dyDescent="0.2">
      <c r="X687" s="213"/>
      <c r="Y687" s="214"/>
      <c r="Z687" s="214"/>
      <c r="AA687" s="214"/>
    </row>
    <row r="688" spans="24:27" ht="12.75" x14ac:dyDescent="0.2">
      <c r="X688" s="213"/>
      <c r="Y688" s="214"/>
      <c r="Z688" s="214"/>
      <c r="AA688" s="214"/>
    </row>
    <row r="689" spans="24:27" ht="12.75" x14ac:dyDescent="0.2">
      <c r="X689" s="213"/>
      <c r="Y689" s="214"/>
      <c r="Z689" s="214"/>
      <c r="AA689" s="214"/>
    </row>
    <row r="690" spans="24:27" ht="12.75" x14ac:dyDescent="0.2">
      <c r="X690" s="213"/>
      <c r="Y690" s="214"/>
      <c r="Z690" s="214"/>
      <c r="AA690" s="214"/>
    </row>
    <row r="691" spans="24:27" ht="12.75" x14ac:dyDescent="0.2">
      <c r="X691" s="213"/>
      <c r="Y691" s="214"/>
      <c r="Z691" s="214"/>
      <c r="AA691" s="214"/>
    </row>
    <row r="692" spans="24:27" ht="12.75" x14ac:dyDescent="0.2">
      <c r="X692" s="213"/>
      <c r="Y692" s="214"/>
      <c r="Z692" s="214"/>
      <c r="AA692" s="214"/>
    </row>
    <row r="693" spans="24:27" ht="12.75" x14ac:dyDescent="0.2">
      <c r="X693" s="213"/>
      <c r="Y693" s="214"/>
      <c r="Z693" s="214"/>
      <c r="AA693" s="214"/>
    </row>
    <row r="694" spans="24:27" ht="12.75" x14ac:dyDescent="0.2">
      <c r="X694" s="213"/>
      <c r="Y694" s="214"/>
      <c r="Z694" s="214"/>
      <c r="AA694" s="214"/>
    </row>
    <row r="695" spans="24:27" ht="12.75" x14ac:dyDescent="0.2">
      <c r="X695" s="213"/>
      <c r="Y695" s="214"/>
      <c r="Z695" s="214"/>
      <c r="AA695" s="214"/>
    </row>
    <row r="696" spans="24:27" ht="12.75" x14ac:dyDescent="0.2">
      <c r="X696" s="213"/>
      <c r="Y696" s="214"/>
      <c r="Z696" s="214"/>
      <c r="AA696" s="214"/>
    </row>
    <row r="697" spans="24:27" ht="12.75" x14ac:dyDescent="0.2">
      <c r="X697" s="213"/>
      <c r="Y697" s="214"/>
      <c r="Z697" s="214"/>
      <c r="AA697" s="214"/>
    </row>
    <row r="698" spans="24:27" ht="12.75" x14ac:dyDescent="0.2">
      <c r="X698" s="213"/>
      <c r="Y698" s="214"/>
      <c r="Z698" s="214"/>
      <c r="AA698" s="214"/>
    </row>
    <row r="699" spans="24:27" ht="12.75" x14ac:dyDescent="0.2">
      <c r="X699" s="213"/>
      <c r="Y699" s="214"/>
      <c r="Z699" s="214"/>
      <c r="AA699" s="214"/>
    </row>
    <row r="700" spans="24:27" ht="12.75" x14ac:dyDescent="0.2">
      <c r="X700" s="213"/>
      <c r="Y700" s="214"/>
      <c r="Z700" s="214"/>
      <c r="AA700" s="214"/>
    </row>
    <row r="701" spans="24:27" ht="12.75" x14ac:dyDescent="0.2">
      <c r="X701" s="213"/>
      <c r="Y701" s="214"/>
      <c r="Z701" s="214"/>
      <c r="AA701" s="214"/>
    </row>
    <row r="702" spans="24:27" ht="12.75" x14ac:dyDescent="0.2">
      <c r="X702" s="213"/>
      <c r="Y702" s="214"/>
      <c r="Z702" s="214"/>
      <c r="AA702" s="214"/>
    </row>
    <row r="703" spans="24:27" ht="12.75" x14ac:dyDescent="0.2">
      <c r="X703" s="213"/>
      <c r="Y703" s="214"/>
      <c r="Z703" s="214"/>
      <c r="AA703" s="214"/>
    </row>
    <row r="704" spans="24:27" ht="12.75" x14ac:dyDescent="0.2">
      <c r="X704" s="213"/>
      <c r="Y704" s="214"/>
      <c r="Z704" s="214"/>
      <c r="AA704" s="214"/>
    </row>
    <row r="705" spans="24:27" ht="12.75" x14ac:dyDescent="0.2">
      <c r="X705" s="213"/>
      <c r="Y705" s="214"/>
      <c r="Z705" s="214"/>
      <c r="AA705" s="214"/>
    </row>
    <row r="706" spans="24:27" ht="12.75" x14ac:dyDescent="0.2">
      <c r="X706" s="213"/>
      <c r="Y706" s="214"/>
      <c r="Z706" s="214"/>
      <c r="AA706" s="214"/>
    </row>
    <row r="707" spans="24:27" ht="12.75" x14ac:dyDescent="0.2">
      <c r="X707" s="213"/>
      <c r="Y707" s="214"/>
      <c r="Z707" s="214"/>
      <c r="AA707" s="214"/>
    </row>
    <row r="708" spans="24:27" ht="12.75" x14ac:dyDescent="0.2">
      <c r="X708" s="213"/>
      <c r="Y708" s="214"/>
      <c r="Z708" s="214"/>
      <c r="AA708" s="214"/>
    </row>
    <row r="709" spans="24:27" ht="12.75" x14ac:dyDescent="0.2">
      <c r="X709" s="213"/>
      <c r="Y709" s="214"/>
      <c r="Z709" s="214"/>
      <c r="AA709" s="214"/>
    </row>
    <row r="710" spans="24:27" ht="12.75" x14ac:dyDescent="0.2">
      <c r="X710" s="213"/>
      <c r="Y710" s="214"/>
      <c r="Z710" s="214"/>
      <c r="AA710" s="214"/>
    </row>
    <row r="711" spans="24:27" ht="12.75" x14ac:dyDescent="0.2">
      <c r="X711" s="213"/>
      <c r="Y711" s="214"/>
      <c r="Z711" s="214"/>
      <c r="AA711" s="214"/>
    </row>
    <row r="712" spans="24:27" ht="12.75" x14ac:dyDescent="0.2">
      <c r="X712" s="213"/>
      <c r="Y712" s="214"/>
      <c r="Z712" s="214"/>
      <c r="AA712" s="214"/>
    </row>
    <row r="713" spans="24:27" ht="12.75" x14ac:dyDescent="0.2">
      <c r="X713" s="213"/>
      <c r="Y713" s="214"/>
      <c r="Z713" s="214"/>
      <c r="AA713" s="214"/>
    </row>
    <row r="714" spans="24:27" ht="12.75" x14ac:dyDescent="0.2">
      <c r="X714" s="213"/>
      <c r="Y714" s="214"/>
      <c r="Z714" s="214"/>
      <c r="AA714" s="214"/>
    </row>
    <row r="715" spans="24:27" ht="12.75" x14ac:dyDescent="0.2">
      <c r="X715" s="213"/>
      <c r="Y715" s="214"/>
      <c r="Z715" s="214"/>
      <c r="AA715" s="214"/>
    </row>
    <row r="716" spans="24:27" ht="12.75" x14ac:dyDescent="0.2">
      <c r="X716" s="213"/>
      <c r="Y716" s="214"/>
      <c r="Z716" s="214"/>
      <c r="AA716" s="214"/>
    </row>
    <row r="717" spans="24:27" ht="12.75" x14ac:dyDescent="0.2">
      <c r="X717" s="213"/>
      <c r="Y717" s="214"/>
      <c r="Z717" s="214"/>
      <c r="AA717" s="214"/>
    </row>
    <row r="718" spans="24:27" ht="12.75" x14ac:dyDescent="0.2">
      <c r="X718" s="213"/>
      <c r="Y718" s="214"/>
      <c r="Z718" s="214"/>
      <c r="AA718" s="214"/>
    </row>
    <row r="719" spans="24:27" ht="12.75" x14ac:dyDescent="0.2">
      <c r="X719" s="213"/>
      <c r="Y719" s="214"/>
      <c r="Z719" s="214"/>
      <c r="AA719" s="214"/>
    </row>
    <row r="720" spans="24:27" ht="12.75" x14ac:dyDescent="0.2">
      <c r="X720" s="213"/>
      <c r="Y720" s="214"/>
      <c r="Z720" s="214"/>
      <c r="AA720" s="214"/>
    </row>
    <row r="721" spans="24:27" ht="12.75" x14ac:dyDescent="0.2">
      <c r="X721" s="213"/>
      <c r="Y721" s="214"/>
      <c r="Z721" s="214"/>
      <c r="AA721" s="214"/>
    </row>
    <row r="722" spans="24:27" ht="12.75" x14ac:dyDescent="0.2">
      <c r="X722" s="213"/>
      <c r="Y722" s="214"/>
      <c r="Z722" s="214"/>
      <c r="AA722" s="214"/>
    </row>
    <row r="723" spans="24:27" ht="12.75" x14ac:dyDescent="0.2">
      <c r="X723" s="213"/>
      <c r="Y723" s="214"/>
      <c r="Z723" s="214"/>
      <c r="AA723" s="214"/>
    </row>
    <row r="724" spans="24:27" ht="12.75" x14ac:dyDescent="0.2">
      <c r="X724" s="213"/>
      <c r="Y724" s="214"/>
      <c r="Z724" s="214"/>
      <c r="AA724" s="214"/>
    </row>
    <row r="725" spans="24:27" ht="12.75" x14ac:dyDescent="0.2">
      <c r="X725" s="213"/>
      <c r="Y725" s="214"/>
      <c r="Z725" s="214"/>
      <c r="AA725" s="214"/>
    </row>
    <row r="726" spans="24:27" ht="12.75" x14ac:dyDescent="0.2">
      <c r="X726" s="213"/>
      <c r="Y726" s="214"/>
      <c r="Z726" s="214"/>
      <c r="AA726" s="214"/>
    </row>
    <row r="727" spans="24:27" ht="12.75" x14ac:dyDescent="0.2">
      <c r="X727" s="213"/>
      <c r="Y727" s="214"/>
      <c r="Z727" s="214"/>
      <c r="AA727" s="214"/>
    </row>
    <row r="728" spans="24:27" ht="12.75" x14ac:dyDescent="0.2">
      <c r="X728" s="213"/>
      <c r="Y728" s="214"/>
      <c r="Z728" s="214"/>
      <c r="AA728" s="214"/>
    </row>
    <row r="729" spans="24:27" ht="12.75" x14ac:dyDescent="0.2">
      <c r="X729" s="213"/>
      <c r="Y729" s="214"/>
      <c r="Z729" s="214"/>
      <c r="AA729" s="214"/>
    </row>
    <row r="730" spans="24:27" ht="12.75" x14ac:dyDescent="0.2">
      <c r="X730" s="213"/>
      <c r="Y730" s="214"/>
      <c r="Z730" s="214"/>
      <c r="AA730" s="214"/>
    </row>
    <row r="731" spans="24:27" ht="12.75" x14ac:dyDescent="0.2">
      <c r="X731" s="213"/>
      <c r="Y731" s="214"/>
      <c r="Z731" s="214"/>
      <c r="AA731" s="214"/>
    </row>
    <row r="732" spans="24:27" ht="12.75" x14ac:dyDescent="0.2">
      <c r="X732" s="213"/>
      <c r="Y732" s="214"/>
      <c r="Z732" s="214"/>
      <c r="AA732" s="214"/>
    </row>
    <row r="733" spans="24:27" ht="12.75" x14ac:dyDescent="0.2">
      <c r="X733" s="213"/>
      <c r="Y733" s="214"/>
      <c r="Z733" s="214"/>
      <c r="AA733" s="214"/>
    </row>
    <row r="734" spans="24:27" ht="12.75" x14ac:dyDescent="0.2">
      <c r="X734" s="213"/>
      <c r="Y734" s="214"/>
      <c r="Z734" s="214"/>
      <c r="AA734" s="214"/>
    </row>
    <row r="735" spans="24:27" ht="12.75" x14ac:dyDescent="0.2">
      <c r="X735" s="213"/>
      <c r="Y735" s="214"/>
      <c r="Z735" s="214"/>
      <c r="AA735" s="214"/>
    </row>
    <row r="736" spans="24:27" ht="12.75" x14ac:dyDescent="0.2">
      <c r="X736" s="213"/>
      <c r="Y736" s="214"/>
      <c r="Z736" s="214"/>
      <c r="AA736" s="214"/>
    </row>
    <row r="737" spans="24:27" ht="12.75" x14ac:dyDescent="0.2">
      <c r="X737" s="213"/>
      <c r="Y737" s="214"/>
      <c r="Z737" s="214"/>
      <c r="AA737" s="214"/>
    </row>
    <row r="738" spans="24:27" ht="12.75" x14ac:dyDescent="0.2">
      <c r="X738" s="213"/>
      <c r="Y738" s="214"/>
      <c r="Z738" s="214"/>
      <c r="AA738" s="214"/>
    </row>
    <row r="739" spans="24:27" ht="12.75" x14ac:dyDescent="0.2">
      <c r="X739" s="213"/>
      <c r="Y739" s="214"/>
      <c r="Z739" s="214"/>
      <c r="AA739" s="214"/>
    </row>
    <row r="740" spans="24:27" ht="12.75" x14ac:dyDescent="0.2">
      <c r="X740" s="213"/>
      <c r="Y740" s="214"/>
      <c r="Z740" s="214"/>
      <c r="AA740" s="214"/>
    </row>
    <row r="741" spans="24:27" ht="12.75" x14ac:dyDescent="0.2">
      <c r="X741" s="213"/>
      <c r="Y741" s="214"/>
      <c r="Z741" s="214"/>
      <c r="AA741" s="214"/>
    </row>
    <row r="742" spans="24:27" ht="12.75" x14ac:dyDescent="0.2">
      <c r="X742" s="213"/>
      <c r="Y742" s="214"/>
      <c r="Z742" s="214"/>
      <c r="AA742" s="214"/>
    </row>
    <row r="743" spans="24:27" ht="12.75" x14ac:dyDescent="0.2">
      <c r="X743" s="213"/>
      <c r="Y743" s="214"/>
      <c r="Z743" s="214"/>
      <c r="AA743" s="214"/>
    </row>
    <row r="744" spans="24:27" ht="12.75" x14ac:dyDescent="0.2">
      <c r="X744" s="213"/>
      <c r="Y744" s="214"/>
      <c r="Z744" s="214"/>
      <c r="AA744" s="214"/>
    </row>
    <row r="745" spans="24:27" ht="12.75" x14ac:dyDescent="0.2">
      <c r="X745" s="213"/>
      <c r="Y745" s="214"/>
      <c r="Z745" s="214"/>
      <c r="AA745" s="214"/>
    </row>
    <row r="746" spans="24:27" ht="12.75" x14ac:dyDescent="0.2">
      <c r="X746" s="213"/>
      <c r="Y746" s="214"/>
      <c r="Z746" s="214"/>
      <c r="AA746" s="214"/>
    </row>
    <row r="747" spans="24:27" ht="12.75" x14ac:dyDescent="0.2">
      <c r="X747" s="213"/>
      <c r="Y747" s="214"/>
      <c r="Z747" s="214"/>
      <c r="AA747" s="214"/>
    </row>
    <row r="748" spans="24:27" ht="12.75" x14ac:dyDescent="0.2">
      <c r="X748" s="213"/>
      <c r="Y748" s="214"/>
      <c r="Z748" s="214"/>
      <c r="AA748" s="214"/>
    </row>
    <row r="749" spans="24:27" ht="12.75" x14ac:dyDescent="0.2">
      <c r="X749" s="213"/>
      <c r="Y749" s="214"/>
      <c r="Z749" s="214"/>
      <c r="AA749" s="214"/>
    </row>
    <row r="750" spans="24:27" ht="12.75" x14ac:dyDescent="0.2">
      <c r="X750" s="213"/>
      <c r="Y750" s="214"/>
      <c r="Z750" s="214"/>
      <c r="AA750" s="214"/>
    </row>
    <row r="751" spans="24:27" ht="12.75" x14ac:dyDescent="0.2">
      <c r="X751" s="213"/>
      <c r="Y751" s="214"/>
      <c r="Z751" s="214"/>
      <c r="AA751" s="214"/>
    </row>
    <row r="752" spans="24:27" ht="12.75" x14ac:dyDescent="0.2">
      <c r="X752" s="213"/>
      <c r="Y752" s="214"/>
      <c r="Z752" s="214"/>
      <c r="AA752" s="214"/>
    </row>
    <row r="753" spans="24:27" ht="12.75" x14ac:dyDescent="0.2">
      <c r="X753" s="213"/>
      <c r="Y753" s="214"/>
      <c r="Z753" s="214"/>
      <c r="AA753" s="214"/>
    </row>
    <row r="754" spans="24:27" ht="12.75" x14ac:dyDescent="0.2">
      <c r="X754" s="213"/>
      <c r="Y754" s="214"/>
      <c r="Z754" s="214"/>
      <c r="AA754" s="214"/>
    </row>
    <row r="755" spans="24:27" ht="12.75" x14ac:dyDescent="0.2">
      <c r="X755" s="213"/>
      <c r="Y755" s="214"/>
      <c r="Z755" s="214"/>
      <c r="AA755" s="214"/>
    </row>
    <row r="756" spans="24:27" ht="12.75" x14ac:dyDescent="0.2">
      <c r="X756" s="213"/>
      <c r="Y756" s="214"/>
      <c r="Z756" s="214"/>
      <c r="AA756" s="214"/>
    </row>
    <row r="757" spans="24:27" ht="12.75" x14ac:dyDescent="0.2">
      <c r="X757" s="213"/>
      <c r="Y757" s="214"/>
      <c r="Z757" s="214"/>
      <c r="AA757" s="214"/>
    </row>
    <row r="758" spans="24:27" ht="12.75" x14ac:dyDescent="0.2">
      <c r="X758" s="213"/>
      <c r="Y758" s="214"/>
      <c r="Z758" s="214"/>
      <c r="AA758" s="214"/>
    </row>
    <row r="759" spans="24:27" ht="12.75" x14ac:dyDescent="0.2">
      <c r="X759" s="213"/>
      <c r="Y759" s="214"/>
      <c r="Z759" s="214"/>
      <c r="AA759" s="214"/>
    </row>
    <row r="760" spans="24:27" ht="12.75" x14ac:dyDescent="0.2">
      <c r="X760" s="213"/>
      <c r="Y760" s="214"/>
      <c r="Z760" s="214"/>
      <c r="AA760" s="214"/>
    </row>
    <row r="761" spans="24:27" ht="12.75" x14ac:dyDescent="0.2">
      <c r="X761" s="213"/>
      <c r="Y761" s="214"/>
      <c r="Z761" s="214"/>
      <c r="AA761" s="214"/>
    </row>
    <row r="762" spans="24:27" ht="12.75" x14ac:dyDescent="0.2">
      <c r="X762" s="213"/>
      <c r="Y762" s="214"/>
      <c r="Z762" s="214"/>
      <c r="AA762" s="214"/>
    </row>
    <row r="763" spans="24:27" ht="12.75" x14ac:dyDescent="0.2">
      <c r="X763" s="213"/>
      <c r="Y763" s="214"/>
      <c r="Z763" s="214"/>
      <c r="AA763" s="214"/>
    </row>
    <row r="764" spans="24:27" ht="12.75" x14ac:dyDescent="0.2">
      <c r="X764" s="213"/>
      <c r="Y764" s="214"/>
      <c r="Z764" s="214"/>
      <c r="AA764" s="214"/>
    </row>
    <row r="765" spans="24:27" ht="12.75" x14ac:dyDescent="0.2">
      <c r="X765" s="213"/>
      <c r="Y765" s="214"/>
      <c r="Z765" s="214"/>
      <c r="AA765" s="214"/>
    </row>
    <row r="766" spans="24:27" ht="12.75" x14ac:dyDescent="0.2">
      <c r="X766" s="213"/>
      <c r="Y766" s="214"/>
      <c r="Z766" s="214"/>
      <c r="AA766" s="214"/>
    </row>
    <row r="767" spans="24:27" ht="12.75" x14ac:dyDescent="0.2">
      <c r="X767" s="213"/>
      <c r="Y767" s="214"/>
      <c r="Z767" s="214"/>
      <c r="AA767" s="214"/>
    </row>
    <row r="768" spans="24:27" ht="12.75" x14ac:dyDescent="0.2">
      <c r="X768" s="213"/>
      <c r="Y768" s="214"/>
      <c r="Z768" s="214"/>
      <c r="AA768" s="214"/>
    </row>
    <row r="769" spans="24:27" ht="12.75" x14ac:dyDescent="0.2">
      <c r="X769" s="213"/>
      <c r="Y769" s="214"/>
      <c r="Z769" s="214"/>
      <c r="AA769" s="214"/>
    </row>
    <row r="770" spans="24:27" ht="12.75" x14ac:dyDescent="0.2">
      <c r="X770" s="213"/>
      <c r="Y770" s="214"/>
      <c r="Z770" s="214"/>
      <c r="AA770" s="214"/>
    </row>
    <row r="771" spans="24:27" ht="12.75" x14ac:dyDescent="0.2">
      <c r="X771" s="213"/>
      <c r="Y771" s="214"/>
      <c r="Z771" s="214"/>
      <c r="AA771" s="214"/>
    </row>
    <row r="772" spans="24:27" ht="12.75" x14ac:dyDescent="0.2">
      <c r="X772" s="213"/>
      <c r="Y772" s="214"/>
      <c r="Z772" s="214"/>
      <c r="AA772" s="214"/>
    </row>
    <row r="773" spans="24:27" ht="12.75" x14ac:dyDescent="0.2">
      <c r="X773" s="213"/>
      <c r="Y773" s="214"/>
      <c r="Z773" s="214"/>
      <c r="AA773" s="214"/>
    </row>
    <row r="774" spans="24:27" ht="12.75" x14ac:dyDescent="0.2">
      <c r="X774" s="213"/>
      <c r="Y774" s="214"/>
      <c r="Z774" s="214"/>
      <c r="AA774" s="214"/>
    </row>
    <row r="775" spans="24:27" ht="12.75" x14ac:dyDescent="0.2">
      <c r="X775" s="213"/>
      <c r="Y775" s="214"/>
      <c r="Z775" s="214"/>
      <c r="AA775" s="214"/>
    </row>
    <row r="776" spans="24:27" ht="12.75" x14ac:dyDescent="0.2">
      <c r="X776" s="213"/>
      <c r="Y776" s="214"/>
      <c r="Z776" s="214"/>
      <c r="AA776" s="214"/>
    </row>
    <row r="777" spans="24:27" ht="12.75" x14ac:dyDescent="0.2">
      <c r="X777" s="213"/>
      <c r="Y777" s="214"/>
      <c r="Z777" s="214"/>
      <c r="AA777" s="214"/>
    </row>
    <row r="778" spans="24:27" ht="12.75" x14ac:dyDescent="0.2">
      <c r="X778" s="213"/>
      <c r="Y778" s="214"/>
      <c r="Z778" s="214"/>
      <c r="AA778" s="214"/>
    </row>
    <row r="779" spans="24:27" ht="12.75" x14ac:dyDescent="0.2">
      <c r="X779" s="213"/>
      <c r="Y779" s="214"/>
      <c r="Z779" s="214"/>
      <c r="AA779" s="214"/>
    </row>
    <row r="780" spans="24:27" ht="12.75" x14ac:dyDescent="0.2">
      <c r="X780" s="213"/>
      <c r="Y780" s="214"/>
      <c r="Z780" s="214"/>
      <c r="AA780" s="214"/>
    </row>
    <row r="781" spans="24:27" ht="12.75" x14ac:dyDescent="0.2">
      <c r="X781" s="213"/>
      <c r="Y781" s="214"/>
      <c r="Z781" s="214"/>
      <c r="AA781" s="214"/>
    </row>
    <row r="782" spans="24:27" ht="12.75" x14ac:dyDescent="0.2">
      <c r="X782" s="213"/>
      <c r="Y782" s="214"/>
      <c r="Z782" s="214"/>
      <c r="AA782" s="214"/>
    </row>
    <row r="783" spans="24:27" ht="12.75" x14ac:dyDescent="0.2">
      <c r="X783" s="213"/>
      <c r="Y783" s="214"/>
      <c r="Z783" s="214"/>
      <c r="AA783" s="214"/>
    </row>
    <row r="784" spans="24:27" ht="12.75" x14ac:dyDescent="0.2">
      <c r="X784" s="213"/>
      <c r="Y784" s="214"/>
      <c r="Z784" s="214"/>
      <c r="AA784" s="214"/>
    </row>
    <row r="785" spans="24:27" ht="12.75" x14ac:dyDescent="0.2">
      <c r="X785" s="213"/>
      <c r="Y785" s="214"/>
      <c r="Z785" s="214"/>
      <c r="AA785" s="214"/>
    </row>
    <row r="786" spans="24:27" ht="12.75" x14ac:dyDescent="0.2">
      <c r="X786" s="213"/>
      <c r="Y786" s="214"/>
      <c r="Z786" s="214"/>
      <c r="AA786" s="214"/>
    </row>
    <row r="787" spans="24:27" ht="12.75" x14ac:dyDescent="0.2">
      <c r="X787" s="213"/>
      <c r="Y787" s="214"/>
      <c r="Z787" s="214"/>
      <c r="AA787" s="214"/>
    </row>
    <row r="788" spans="24:27" ht="12.75" x14ac:dyDescent="0.2">
      <c r="X788" s="213"/>
      <c r="Y788" s="214"/>
      <c r="Z788" s="214"/>
      <c r="AA788" s="214"/>
    </row>
    <row r="789" spans="24:27" ht="12.75" x14ac:dyDescent="0.2">
      <c r="X789" s="213"/>
      <c r="Y789" s="214"/>
      <c r="Z789" s="214"/>
      <c r="AA789" s="214"/>
    </row>
    <row r="790" spans="24:27" ht="12.75" x14ac:dyDescent="0.2">
      <c r="X790" s="213"/>
      <c r="Y790" s="214"/>
      <c r="Z790" s="214"/>
      <c r="AA790" s="214"/>
    </row>
    <row r="791" spans="24:27" ht="12.75" x14ac:dyDescent="0.2">
      <c r="X791" s="213"/>
      <c r="Y791" s="214"/>
      <c r="Z791" s="214"/>
      <c r="AA791" s="214"/>
    </row>
    <row r="792" spans="24:27" ht="12.75" x14ac:dyDescent="0.2">
      <c r="X792" s="213"/>
      <c r="Y792" s="214"/>
      <c r="Z792" s="214"/>
      <c r="AA792" s="214"/>
    </row>
    <row r="793" spans="24:27" ht="12.75" x14ac:dyDescent="0.2">
      <c r="X793" s="213"/>
      <c r="Y793" s="214"/>
      <c r="Z793" s="214"/>
      <c r="AA793" s="214"/>
    </row>
    <row r="794" spans="24:27" ht="12.75" x14ac:dyDescent="0.2">
      <c r="X794" s="213"/>
      <c r="Y794" s="214"/>
      <c r="Z794" s="214"/>
      <c r="AA794" s="214"/>
    </row>
    <row r="795" spans="24:27" ht="12.75" x14ac:dyDescent="0.2">
      <c r="X795" s="213"/>
      <c r="Y795" s="214"/>
      <c r="Z795" s="214"/>
      <c r="AA795" s="214"/>
    </row>
    <row r="796" spans="24:27" ht="12.75" x14ac:dyDescent="0.2">
      <c r="X796" s="213"/>
      <c r="Y796" s="214"/>
      <c r="Z796" s="214"/>
      <c r="AA796" s="214"/>
    </row>
    <row r="797" spans="24:27" ht="12.75" x14ac:dyDescent="0.2">
      <c r="X797" s="213"/>
      <c r="Y797" s="214"/>
      <c r="Z797" s="214"/>
      <c r="AA797" s="214"/>
    </row>
    <row r="798" spans="24:27" ht="12.75" x14ac:dyDescent="0.2">
      <c r="X798" s="213"/>
      <c r="Y798" s="214"/>
      <c r="Z798" s="214"/>
      <c r="AA798" s="214"/>
    </row>
    <row r="799" spans="24:27" ht="12.75" x14ac:dyDescent="0.2">
      <c r="X799" s="213"/>
      <c r="Y799" s="214"/>
      <c r="Z799" s="214"/>
      <c r="AA799" s="214"/>
    </row>
    <row r="800" spans="24:27" ht="12.75" x14ac:dyDescent="0.2">
      <c r="X800" s="213"/>
      <c r="Y800" s="214"/>
      <c r="Z800" s="214"/>
      <c r="AA800" s="214"/>
    </row>
    <row r="801" spans="24:27" ht="12.75" x14ac:dyDescent="0.2">
      <c r="X801" s="213"/>
      <c r="Y801" s="214"/>
      <c r="Z801" s="214"/>
      <c r="AA801" s="214"/>
    </row>
    <row r="802" spans="24:27" ht="12.75" x14ac:dyDescent="0.2">
      <c r="X802" s="213"/>
      <c r="Y802" s="214"/>
      <c r="Z802" s="214"/>
      <c r="AA802" s="214"/>
    </row>
    <row r="803" spans="24:27" ht="12.75" x14ac:dyDescent="0.2">
      <c r="X803" s="213"/>
      <c r="Y803" s="214"/>
      <c r="Z803" s="214"/>
      <c r="AA803" s="214"/>
    </row>
    <row r="804" spans="24:27" ht="12.75" x14ac:dyDescent="0.2">
      <c r="X804" s="213"/>
      <c r="Y804" s="214"/>
      <c r="Z804" s="214"/>
      <c r="AA804" s="214"/>
    </row>
    <row r="805" spans="24:27" ht="12.75" x14ac:dyDescent="0.2">
      <c r="X805" s="213"/>
      <c r="Y805" s="214"/>
      <c r="Z805" s="214"/>
      <c r="AA805" s="214"/>
    </row>
    <row r="806" spans="24:27" ht="12.75" x14ac:dyDescent="0.2">
      <c r="X806" s="213"/>
      <c r="Y806" s="214"/>
      <c r="Z806" s="214"/>
      <c r="AA806" s="214"/>
    </row>
    <row r="807" spans="24:27" ht="12.75" x14ac:dyDescent="0.2">
      <c r="X807" s="213"/>
      <c r="Y807" s="214"/>
      <c r="Z807" s="214"/>
      <c r="AA807" s="214"/>
    </row>
    <row r="808" spans="24:27" ht="12.75" x14ac:dyDescent="0.2">
      <c r="X808" s="213"/>
      <c r="Y808" s="214"/>
      <c r="Z808" s="214"/>
      <c r="AA808" s="214"/>
    </row>
    <row r="809" spans="24:27" ht="12.75" x14ac:dyDescent="0.2">
      <c r="X809" s="213"/>
      <c r="Y809" s="214"/>
      <c r="Z809" s="214"/>
      <c r="AA809" s="214"/>
    </row>
    <row r="810" spans="24:27" ht="12.75" x14ac:dyDescent="0.2">
      <c r="X810" s="213"/>
      <c r="Y810" s="214"/>
      <c r="Z810" s="214"/>
      <c r="AA810" s="214"/>
    </row>
    <row r="811" spans="24:27" ht="12.75" x14ac:dyDescent="0.2">
      <c r="X811" s="213"/>
      <c r="Y811" s="214"/>
      <c r="Z811" s="214"/>
      <c r="AA811" s="214"/>
    </row>
    <row r="812" spans="24:27" ht="12.75" x14ac:dyDescent="0.2">
      <c r="X812" s="213"/>
      <c r="Y812" s="214"/>
      <c r="Z812" s="214"/>
      <c r="AA812" s="214"/>
    </row>
    <row r="813" spans="24:27" ht="12.75" x14ac:dyDescent="0.2">
      <c r="X813" s="213"/>
      <c r="Y813" s="214"/>
      <c r="Z813" s="214"/>
      <c r="AA813" s="214"/>
    </row>
    <row r="814" spans="24:27" ht="12.75" x14ac:dyDescent="0.2">
      <c r="X814" s="213"/>
      <c r="Y814" s="214"/>
      <c r="Z814" s="214"/>
      <c r="AA814" s="214"/>
    </row>
    <row r="815" spans="24:27" ht="12.75" x14ac:dyDescent="0.2">
      <c r="X815" s="213"/>
      <c r="Y815" s="214"/>
      <c r="Z815" s="214"/>
      <c r="AA815" s="214"/>
    </row>
    <row r="816" spans="24:27" ht="12.75" x14ac:dyDescent="0.2">
      <c r="X816" s="213"/>
      <c r="Y816" s="214"/>
      <c r="Z816" s="214"/>
      <c r="AA816" s="214"/>
    </row>
    <row r="817" spans="24:27" ht="12.75" x14ac:dyDescent="0.2">
      <c r="X817" s="213"/>
      <c r="Y817" s="214"/>
      <c r="Z817" s="214"/>
      <c r="AA817" s="214"/>
    </row>
    <row r="818" spans="24:27" ht="12.75" x14ac:dyDescent="0.2">
      <c r="X818" s="213"/>
      <c r="Y818" s="214"/>
      <c r="Z818" s="214"/>
      <c r="AA818" s="214"/>
    </row>
    <row r="819" spans="24:27" ht="12.75" x14ac:dyDescent="0.2">
      <c r="X819" s="213"/>
      <c r="Y819" s="214"/>
      <c r="Z819" s="214"/>
      <c r="AA819" s="214"/>
    </row>
    <row r="820" spans="24:27" ht="12.75" x14ac:dyDescent="0.2">
      <c r="X820" s="213"/>
      <c r="Y820" s="214"/>
      <c r="Z820" s="214"/>
      <c r="AA820" s="214"/>
    </row>
    <row r="821" spans="24:27" ht="12.75" x14ac:dyDescent="0.2">
      <c r="X821" s="213"/>
      <c r="Y821" s="214"/>
      <c r="Z821" s="214"/>
      <c r="AA821" s="214"/>
    </row>
    <row r="822" spans="24:27" ht="12.75" x14ac:dyDescent="0.2">
      <c r="X822" s="213"/>
      <c r="Y822" s="214"/>
      <c r="Z822" s="214"/>
      <c r="AA822" s="214"/>
    </row>
    <row r="823" spans="24:27" ht="12.75" x14ac:dyDescent="0.2">
      <c r="X823" s="213"/>
      <c r="Y823" s="214"/>
      <c r="Z823" s="214"/>
      <c r="AA823" s="214"/>
    </row>
    <row r="824" spans="24:27" ht="12.75" x14ac:dyDescent="0.2">
      <c r="X824" s="213"/>
      <c r="Y824" s="214"/>
      <c r="Z824" s="214"/>
      <c r="AA824" s="214"/>
    </row>
    <row r="825" spans="24:27" ht="12.75" x14ac:dyDescent="0.2">
      <c r="X825" s="213"/>
      <c r="Y825" s="214"/>
      <c r="Z825" s="214"/>
      <c r="AA825" s="214"/>
    </row>
    <row r="826" spans="24:27" ht="12.75" x14ac:dyDescent="0.2">
      <c r="X826" s="213"/>
      <c r="Y826" s="214"/>
      <c r="Z826" s="214"/>
      <c r="AA826" s="214"/>
    </row>
    <row r="827" spans="24:27" ht="12.75" x14ac:dyDescent="0.2">
      <c r="X827" s="213"/>
      <c r="Y827" s="214"/>
      <c r="Z827" s="214"/>
      <c r="AA827" s="214"/>
    </row>
    <row r="828" spans="24:27" ht="12.75" x14ac:dyDescent="0.2">
      <c r="X828" s="213"/>
      <c r="Y828" s="214"/>
      <c r="Z828" s="214"/>
      <c r="AA828" s="214"/>
    </row>
    <row r="829" spans="24:27" ht="12.75" x14ac:dyDescent="0.2">
      <c r="X829" s="213"/>
      <c r="Y829" s="214"/>
      <c r="Z829" s="214"/>
      <c r="AA829" s="214"/>
    </row>
    <row r="830" spans="24:27" ht="12.75" x14ac:dyDescent="0.2">
      <c r="X830" s="213"/>
      <c r="Y830" s="214"/>
      <c r="Z830" s="214"/>
      <c r="AA830" s="214"/>
    </row>
    <row r="831" spans="24:27" ht="12.75" x14ac:dyDescent="0.2">
      <c r="X831" s="213"/>
      <c r="Y831" s="214"/>
      <c r="Z831" s="214"/>
      <c r="AA831" s="214"/>
    </row>
    <row r="832" spans="24:27" ht="12.75" x14ac:dyDescent="0.2">
      <c r="X832" s="213"/>
      <c r="Y832" s="214"/>
      <c r="Z832" s="214"/>
      <c r="AA832" s="214"/>
    </row>
    <row r="833" spans="24:27" ht="12.75" x14ac:dyDescent="0.2">
      <c r="X833" s="213"/>
      <c r="Y833" s="214"/>
      <c r="Z833" s="214"/>
      <c r="AA833" s="214"/>
    </row>
    <row r="834" spans="24:27" ht="12.75" x14ac:dyDescent="0.2">
      <c r="X834" s="213"/>
      <c r="Y834" s="214"/>
      <c r="Z834" s="214"/>
      <c r="AA834" s="214"/>
    </row>
    <row r="835" spans="24:27" ht="12.75" x14ac:dyDescent="0.2">
      <c r="X835" s="213"/>
      <c r="Y835" s="214"/>
      <c r="Z835" s="214"/>
      <c r="AA835" s="214"/>
    </row>
    <row r="836" spans="24:27" ht="12.75" x14ac:dyDescent="0.2">
      <c r="X836" s="213"/>
      <c r="Y836" s="214"/>
      <c r="Z836" s="214"/>
      <c r="AA836" s="214"/>
    </row>
    <row r="837" spans="24:27" ht="12.75" x14ac:dyDescent="0.2">
      <c r="X837" s="213"/>
      <c r="Y837" s="214"/>
      <c r="Z837" s="214"/>
      <c r="AA837" s="214"/>
    </row>
    <row r="838" spans="24:27" ht="12.75" x14ac:dyDescent="0.2">
      <c r="X838" s="213"/>
      <c r="Y838" s="214"/>
      <c r="Z838" s="214"/>
      <c r="AA838" s="214"/>
    </row>
    <row r="839" spans="24:27" ht="12.75" x14ac:dyDescent="0.2">
      <c r="X839" s="213"/>
      <c r="Y839" s="214"/>
      <c r="Z839" s="214"/>
      <c r="AA839" s="214"/>
    </row>
    <row r="840" spans="24:27" ht="12.75" x14ac:dyDescent="0.2">
      <c r="X840" s="213"/>
      <c r="Y840" s="214"/>
      <c r="Z840" s="214"/>
      <c r="AA840" s="214"/>
    </row>
    <row r="841" spans="24:27" ht="12.75" x14ac:dyDescent="0.2">
      <c r="X841" s="213"/>
      <c r="Y841" s="214"/>
      <c r="Z841" s="214"/>
      <c r="AA841" s="214"/>
    </row>
    <row r="842" spans="24:27" ht="12.75" x14ac:dyDescent="0.2">
      <c r="X842" s="213"/>
      <c r="Y842" s="214"/>
      <c r="Z842" s="214"/>
      <c r="AA842" s="214"/>
    </row>
    <row r="843" spans="24:27" ht="12.75" x14ac:dyDescent="0.2">
      <c r="X843" s="213"/>
      <c r="Y843" s="214"/>
      <c r="Z843" s="214"/>
      <c r="AA843" s="214"/>
    </row>
    <row r="844" spans="24:27" ht="12.75" x14ac:dyDescent="0.2">
      <c r="X844" s="213"/>
      <c r="Y844" s="214"/>
      <c r="Z844" s="214"/>
      <c r="AA844" s="214"/>
    </row>
    <row r="845" spans="24:27" ht="12.75" x14ac:dyDescent="0.2">
      <c r="X845" s="213"/>
      <c r="Y845" s="214"/>
      <c r="Z845" s="214"/>
      <c r="AA845" s="214"/>
    </row>
    <row r="846" spans="24:27" ht="12.75" x14ac:dyDescent="0.2">
      <c r="X846" s="213"/>
      <c r="Y846" s="214"/>
      <c r="Z846" s="214"/>
      <c r="AA846" s="214"/>
    </row>
    <row r="847" spans="24:27" ht="12.75" x14ac:dyDescent="0.2">
      <c r="X847" s="213"/>
      <c r="Y847" s="214"/>
      <c r="Z847" s="214"/>
      <c r="AA847" s="214"/>
    </row>
    <row r="848" spans="24:27" ht="12.75" x14ac:dyDescent="0.2">
      <c r="X848" s="213"/>
      <c r="Y848" s="214"/>
      <c r="Z848" s="214"/>
      <c r="AA848" s="214"/>
    </row>
    <row r="849" spans="24:27" ht="12.75" x14ac:dyDescent="0.2">
      <c r="X849" s="213"/>
      <c r="Y849" s="214"/>
      <c r="Z849" s="214"/>
      <c r="AA849" s="214"/>
    </row>
    <row r="850" spans="24:27" ht="12.75" x14ac:dyDescent="0.2">
      <c r="X850" s="213"/>
      <c r="Y850" s="214"/>
      <c r="Z850" s="214"/>
      <c r="AA850" s="214"/>
    </row>
    <row r="851" spans="24:27" ht="12.75" x14ac:dyDescent="0.2">
      <c r="X851" s="213"/>
      <c r="Y851" s="214"/>
      <c r="Z851" s="214"/>
      <c r="AA851" s="214"/>
    </row>
    <row r="852" spans="24:27" ht="12.75" x14ac:dyDescent="0.2">
      <c r="X852" s="213"/>
      <c r="Y852" s="214"/>
      <c r="Z852" s="214"/>
      <c r="AA852" s="214"/>
    </row>
    <row r="853" spans="24:27" ht="12.75" x14ac:dyDescent="0.2">
      <c r="X853" s="213"/>
      <c r="Y853" s="214"/>
      <c r="Z853" s="214"/>
      <c r="AA853" s="214"/>
    </row>
    <row r="854" spans="24:27" ht="12.75" x14ac:dyDescent="0.2">
      <c r="X854" s="213"/>
      <c r="Y854" s="214"/>
      <c r="Z854" s="214"/>
      <c r="AA854" s="214"/>
    </row>
    <row r="855" spans="24:27" ht="12.75" x14ac:dyDescent="0.2">
      <c r="X855" s="213"/>
      <c r="Y855" s="214"/>
      <c r="Z855" s="214"/>
      <c r="AA855" s="214"/>
    </row>
    <row r="856" spans="24:27" ht="12.75" x14ac:dyDescent="0.2">
      <c r="X856" s="213"/>
      <c r="Y856" s="214"/>
      <c r="Z856" s="214"/>
      <c r="AA856" s="214"/>
    </row>
    <row r="857" spans="24:27" ht="12.75" x14ac:dyDescent="0.2">
      <c r="X857" s="213"/>
      <c r="Y857" s="214"/>
      <c r="Z857" s="214"/>
      <c r="AA857" s="214"/>
    </row>
    <row r="858" spans="24:27" ht="12.75" x14ac:dyDescent="0.2">
      <c r="X858" s="213"/>
      <c r="Y858" s="214"/>
      <c r="Z858" s="214"/>
      <c r="AA858" s="214"/>
    </row>
    <row r="859" spans="24:27" ht="12.75" x14ac:dyDescent="0.2">
      <c r="X859" s="213"/>
      <c r="Y859" s="214"/>
      <c r="Z859" s="214"/>
      <c r="AA859" s="214"/>
    </row>
    <row r="860" spans="24:27" ht="12.75" x14ac:dyDescent="0.2">
      <c r="X860" s="213"/>
      <c r="Y860" s="214"/>
      <c r="Z860" s="214"/>
      <c r="AA860" s="214"/>
    </row>
    <row r="861" spans="24:27" ht="12.75" x14ac:dyDescent="0.2">
      <c r="X861" s="213"/>
      <c r="Y861" s="214"/>
      <c r="Z861" s="214"/>
      <c r="AA861" s="214"/>
    </row>
    <row r="862" spans="24:27" ht="12.75" x14ac:dyDescent="0.2">
      <c r="X862" s="213"/>
      <c r="Y862" s="214"/>
      <c r="Z862" s="214"/>
      <c r="AA862" s="214"/>
    </row>
    <row r="863" spans="24:27" ht="12.75" x14ac:dyDescent="0.2">
      <c r="X863" s="213"/>
      <c r="Y863" s="214"/>
      <c r="Z863" s="214"/>
      <c r="AA863" s="214"/>
    </row>
    <row r="864" spans="24:27" ht="12.75" x14ac:dyDescent="0.2">
      <c r="X864" s="213"/>
      <c r="Y864" s="214"/>
      <c r="Z864" s="214"/>
      <c r="AA864" s="214"/>
    </row>
    <row r="865" spans="24:27" ht="12.75" x14ac:dyDescent="0.2">
      <c r="X865" s="213"/>
      <c r="Y865" s="214"/>
      <c r="Z865" s="214"/>
      <c r="AA865" s="214"/>
    </row>
    <row r="866" spans="24:27" ht="12.75" x14ac:dyDescent="0.2">
      <c r="X866" s="213"/>
      <c r="Y866" s="214"/>
      <c r="Z866" s="214"/>
      <c r="AA866" s="214"/>
    </row>
    <row r="867" spans="24:27" ht="12.75" x14ac:dyDescent="0.2">
      <c r="X867" s="213"/>
      <c r="Y867" s="214"/>
      <c r="Z867" s="214"/>
      <c r="AA867" s="214"/>
    </row>
    <row r="868" spans="24:27" ht="12.75" x14ac:dyDescent="0.2">
      <c r="X868" s="213"/>
      <c r="Y868" s="214"/>
      <c r="Z868" s="214"/>
      <c r="AA868" s="214"/>
    </row>
    <row r="869" spans="24:27" ht="12.75" x14ac:dyDescent="0.2">
      <c r="X869" s="213"/>
      <c r="Y869" s="214"/>
      <c r="Z869" s="214"/>
      <c r="AA869" s="214"/>
    </row>
    <row r="870" spans="24:27" ht="12.75" x14ac:dyDescent="0.2">
      <c r="X870" s="213"/>
      <c r="Y870" s="214"/>
      <c r="Z870" s="214"/>
      <c r="AA870" s="214"/>
    </row>
    <row r="871" spans="24:27" ht="12.75" x14ac:dyDescent="0.2">
      <c r="X871" s="213"/>
      <c r="Y871" s="214"/>
      <c r="Z871" s="214"/>
      <c r="AA871" s="214"/>
    </row>
    <row r="872" spans="24:27" ht="12.75" x14ac:dyDescent="0.2">
      <c r="X872" s="213"/>
      <c r="Y872" s="214"/>
      <c r="Z872" s="214"/>
      <c r="AA872" s="214"/>
    </row>
    <row r="873" spans="24:27" ht="12.75" x14ac:dyDescent="0.2">
      <c r="X873" s="213"/>
      <c r="Y873" s="214"/>
      <c r="Z873" s="214"/>
      <c r="AA873" s="214"/>
    </row>
    <row r="874" spans="24:27" ht="12.75" x14ac:dyDescent="0.2">
      <c r="X874" s="213"/>
      <c r="Y874" s="214"/>
      <c r="Z874" s="214"/>
      <c r="AA874" s="214"/>
    </row>
    <row r="875" spans="24:27" ht="12.75" x14ac:dyDescent="0.2">
      <c r="X875" s="213"/>
      <c r="Y875" s="214"/>
      <c r="Z875" s="214"/>
      <c r="AA875" s="214"/>
    </row>
    <row r="876" spans="24:27" ht="12.75" x14ac:dyDescent="0.2">
      <c r="X876" s="213"/>
      <c r="Y876" s="214"/>
      <c r="Z876" s="214"/>
      <c r="AA876" s="214"/>
    </row>
    <row r="877" spans="24:27" ht="12.75" x14ac:dyDescent="0.2">
      <c r="X877" s="213"/>
      <c r="Y877" s="214"/>
      <c r="Z877" s="214"/>
      <c r="AA877" s="214"/>
    </row>
    <row r="878" spans="24:27" ht="12.75" x14ac:dyDescent="0.2">
      <c r="X878" s="213"/>
      <c r="Y878" s="214"/>
      <c r="Z878" s="214"/>
      <c r="AA878" s="214"/>
    </row>
    <row r="879" spans="24:27" ht="12.75" x14ac:dyDescent="0.2">
      <c r="X879" s="213"/>
      <c r="Y879" s="214"/>
      <c r="Z879" s="214"/>
      <c r="AA879" s="214"/>
    </row>
    <row r="880" spans="24:27" ht="12.75" x14ac:dyDescent="0.2">
      <c r="X880" s="213"/>
      <c r="Y880" s="214"/>
      <c r="Z880" s="214"/>
      <c r="AA880" s="214"/>
    </row>
    <row r="881" spans="24:27" ht="12.75" x14ac:dyDescent="0.2">
      <c r="X881" s="213"/>
      <c r="Y881" s="214"/>
      <c r="Z881" s="214"/>
      <c r="AA881" s="214"/>
    </row>
    <row r="882" spans="24:27" ht="12.75" x14ac:dyDescent="0.2">
      <c r="X882" s="213"/>
      <c r="Y882" s="214"/>
      <c r="Z882" s="214"/>
      <c r="AA882" s="214"/>
    </row>
    <row r="883" spans="24:27" ht="12.75" x14ac:dyDescent="0.2">
      <c r="X883" s="213"/>
      <c r="Y883" s="214"/>
      <c r="Z883" s="214"/>
      <c r="AA883" s="214"/>
    </row>
    <row r="884" spans="24:27" ht="12.75" x14ac:dyDescent="0.2">
      <c r="X884" s="213"/>
      <c r="Y884" s="214"/>
      <c r="Z884" s="214"/>
      <c r="AA884" s="214"/>
    </row>
    <row r="885" spans="24:27" ht="12.75" x14ac:dyDescent="0.2">
      <c r="X885" s="213"/>
      <c r="Y885" s="214"/>
      <c r="Z885" s="214"/>
      <c r="AA885" s="214"/>
    </row>
    <row r="886" spans="24:27" ht="12.75" x14ac:dyDescent="0.2">
      <c r="X886" s="213"/>
      <c r="Y886" s="214"/>
      <c r="Z886" s="214"/>
      <c r="AA886" s="214"/>
    </row>
    <row r="887" spans="24:27" ht="12.75" x14ac:dyDescent="0.2">
      <c r="X887" s="213"/>
      <c r="Y887" s="214"/>
      <c r="Z887" s="214"/>
      <c r="AA887" s="214"/>
    </row>
    <row r="888" spans="24:27" ht="12.75" x14ac:dyDescent="0.2">
      <c r="X888" s="213"/>
      <c r="Y888" s="214"/>
      <c r="Z888" s="214"/>
      <c r="AA888" s="214"/>
    </row>
    <row r="889" spans="24:27" ht="12.75" x14ac:dyDescent="0.2">
      <c r="X889" s="213"/>
      <c r="Y889" s="214"/>
      <c r="Z889" s="214"/>
      <c r="AA889" s="214"/>
    </row>
    <row r="890" spans="24:27" ht="12.75" x14ac:dyDescent="0.2">
      <c r="X890" s="213"/>
      <c r="Y890" s="214"/>
      <c r="Z890" s="214"/>
      <c r="AA890" s="214"/>
    </row>
    <row r="891" spans="24:27" ht="12.75" x14ac:dyDescent="0.2">
      <c r="X891" s="213"/>
      <c r="Y891" s="214"/>
      <c r="Z891" s="214"/>
      <c r="AA891" s="214"/>
    </row>
    <row r="892" spans="24:27" ht="12.75" x14ac:dyDescent="0.2">
      <c r="X892" s="213"/>
      <c r="Y892" s="214"/>
      <c r="Z892" s="214"/>
      <c r="AA892" s="214"/>
    </row>
    <row r="893" spans="24:27" ht="12.75" x14ac:dyDescent="0.2">
      <c r="X893" s="213"/>
      <c r="Y893" s="214"/>
      <c r="Z893" s="214"/>
      <c r="AA893" s="214"/>
    </row>
    <row r="894" spans="24:27" ht="12.75" x14ac:dyDescent="0.2">
      <c r="X894" s="213"/>
      <c r="Y894" s="214"/>
      <c r="Z894" s="214"/>
      <c r="AA894" s="214"/>
    </row>
    <row r="895" spans="24:27" ht="12.75" x14ac:dyDescent="0.2">
      <c r="X895" s="213"/>
      <c r="Y895" s="214"/>
      <c r="Z895" s="214"/>
      <c r="AA895" s="214"/>
    </row>
    <row r="896" spans="24:27" ht="12.75" x14ac:dyDescent="0.2">
      <c r="X896" s="213"/>
      <c r="Y896" s="214"/>
      <c r="Z896" s="214"/>
      <c r="AA896" s="214"/>
    </row>
    <row r="897" spans="24:27" ht="12.75" x14ac:dyDescent="0.2">
      <c r="X897" s="213"/>
      <c r="Y897" s="214"/>
      <c r="Z897" s="214"/>
      <c r="AA897" s="214"/>
    </row>
    <row r="898" spans="24:27" ht="12.75" x14ac:dyDescent="0.2">
      <c r="X898" s="213"/>
      <c r="Y898" s="214"/>
      <c r="Z898" s="214"/>
      <c r="AA898" s="214"/>
    </row>
    <row r="899" spans="24:27" ht="12.75" x14ac:dyDescent="0.2">
      <c r="X899" s="213"/>
      <c r="Y899" s="214"/>
      <c r="Z899" s="214"/>
      <c r="AA899" s="214"/>
    </row>
    <row r="900" spans="24:27" ht="12.75" x14ac:dyDescent="0.2">
      <c r="X900" s="213"/>
      <c r="Y900" s="214"/>
      <c r="Z900" s="214"/>
      <c r="AA900" s="214"/>
    </row>
    <row r="901" spans="24:27" ht="12.75" x14ac:dyDescent="0.2">
      <c r="X901" s="213"/>
      <c r="Y901" s="214"/>
      <c r="Z901" s="214"/>
      <c r="AA901" s="214"/>
    </row>
    <row r="902" spans="24:27" ht="12.75" x14ac:dyDescent="0.2">
      <c r="X902" s="213"/>
      <c r="Y902" s="214"/>
      <c r="Z902" s="214"/>
      <c r="AA902" s="214"/>
    </row>
    <row r="903" spans="24:27" ht="12.75" x14ac:dyDescent="0.2">
      <c r="X903" s="213"/>
      <c r="Y903" s="214"/>
      <c r="Z903" s="214"/>
      <c r="AA903" s="214"/>
    </row>
    <row r="904" spans="24:27" ht="12.75" x14ac:dyDescent="0.2">
      <c r="X904" s="213"/>
      <c r="Y904" s="214"/>
      <c r="Z904" s="214"/>
      <c r="AA904" s="214"/>
    </row>
    <row r="905" spans="24:27" ht="12.75" x14ac:dyDescent="0.2">
      <c r="X905" s="213"/>
      <c r="Y905" s="214"/>
      <c r="Z905" s="214"/>
      <c r="AA905" s="214"/>
    </row>
    <row r="906" spans="24:27" ht="12.75" x14ac:dyDescent="0.2">
      <c r="X906" s="213"/>
      <c r="Y906" s="214"/>
      <c r="Z906" s="214"/>
      <c r="AA906" s="214"/>
    </row>
    <row r="907" spans="24:27" ht="12.75" x14ac:dyDescent="0.2">
      <c r="X907" s="213"/>
      <c r="Y907" s="214"/>
      <c r="Z907" s="214"/>
      <c r="AA907" s="214"/>
    </row>
    <row r="908" spans="24:27" ht="12.75" x14ac:dyDescent="0.2">
      <c r="X908" s="213"/>
      <c r="Y908" s="214"/>
      <c r="Z908" s="214"/>
      <c r="AA908" s="214"/>
    </row>
    <row r="909" spans="24:27" ht="12.75" x14ac:dyDescent="0.2">
      <c r="X909" s="213"/>
      <c r="Y909" s="214"/>
      <c r="Z909" s="214"/>
      <c r="AA909" s="214"/>
    </row>
    <row r="910" spans="24:27" ht="12.75" x14ac:dyDescent="0.2">
      <c r="X910" s="213"/>
      <c r="Y910" s="214"/>
      <c r="Z910" s="214"/>
      <c r="AA910" s="214"/>
    </row>
    <row r="911" spans="24:27" ht="12.75" x14ac:dyDescent="0.2">
      <c r="X911" s="213"/>
      <c r="Y911" s="214"/>
      <c r="Z911" s="214"/>
      <c r="AA911" s="214"/>
    </row>
    <row r="912" spans="24:27" ht="12.75" x14ac:dyDescent="0.2">
      <c r="X912" s="213"/>
      <c r="Y912" s="214"/>
      <c r="Z912" s="214"/>
      <c r="AA912" s="214"/>
    </row>
    <row r="913" spans="24:27" ht="12.75" x14ac:dyDescent="0.2">
      <c r="X913" s="213"/>
      <c r="Y913" s="214"/>
      <c r="Z913" s="214"/>
      <c r="AA913" s="214"/>
    </row>
    <row r="914" spans="24:27" ht="12.75" x14ac:dyDescent="0.2">
      <c r="X914" s="213"/>
      <c r="Y914" s="214"/>
      <c r="Z914" s="214"/>
      <c r="AA914" s="214"/>
    </row>
    <row r="915" spans="24:27" ht="12.75" x14ac:dyDescent="0.2">
      <c r="X915" s="213"/>
      <c r="Y915" s="214"/>
      <c r="Z915" s="214"/>
      <c r="AA915" s="214"/>
    </row>
    <row r="916" spans="24:27" ht="12.75" x14ac:dyDescent="0.2">
      <c r="X916" s="213"/>
      <c r="Y916" s="214"/>
      <c r="Z916" s="214"/>
      <c r="AA916" s="214"/>
    </row>
    <row r="917" spans="24:27" ht="12.75" x14ac:dyDescent="0.2">
      <c r="X917" s="213"/>
      <c r="Y917" s="214"/>
      <c r="Z917" s="214"/>
      <c r="AA917" s="214"/>
    </row>
    <row r="918" spans="24:27" ht="12.75" x14ac:dyDescent="0.2">
      <c r="X918" s="213"/>
      <c r="Y918" s="214"/>
      <c r="Z918" s="214"/>
      <c r="AA918" s="214"/>
    </row>
    <row r="919" spans="24:27" ht="12.75" x14ac:dyDescent="0.2">
      <c r="X919" s="213"/>
      <c r="Y919" s="214"/>
      <c r="Z919" s="214"/>
      <c r="AA919" s="214"/>
    </row>
    <row r="920" spans="24:27" ht="12.75" x14ac:dyDescent="0.2">
      <c r="X920" s="213"/>
      <c r="Y920" s="214"/>
      <c r="Z920" s="214"/>
      <c r="AA920" s="214"/>
    </row>
    <row r="921" spans="24:27" ht="12.75" x14ac:dyDescent="0.2">
      <c r="X921" s="213"/>
      <c r="Y921" s="214"/>
      <c r="Z921" s="214"/>
      <c r="AA921" s="214"/>
    </row>
    <row r="922" spans="24:27" ht="12.75" x14ac:dyDescent="0.2">
      <c r="X922" s="213"/>
      <c r="Y922" s="214"/>
      <c r="Z922" s="214"/>
      <c r="AA922" s="214"/>
    </row>
    <row r="923" spans="24:27" ht="12.75" x14ac:dyDescent="0.2">
      <c r="X923" s="213"/>
      <c r="Y923" s="214"/>
      <c r="Z923" s="214"/>
      <c r="AA923" s="214"/>
    </row>
    <row r="924" spans="24:27" ht="12.75" x14ac:dyDescent="0.2">
      <c r="X924" s="213"/>
      <c r="Y924" s="214"/>
      <c r="Z924" s="214"/>
      <c r="AA924" s="214"/>
    </row>
    <row r="925" spans="24:27" ht="12.75" x14ac:dyDescent="0.2">
      <c r="X925" s="213"/>
      <c r="Y925" s="214"/>
      <c r="Z925" s="214"/>
      <c r="AA925" s="214"/>
    </row>
    <row r="926" spans="24:27" ht="12.75" x14ac:dyDescent="0.2">
      <c r="X926" s="213"/>
      <c r="Y926" s="214"/>
      <c r="Z926" s="214"/>
      <c r="AA926" s="214"/>
    </row>
    <row r="927" spans="24:27" ht="12.75" x14ac:dyDescent="0.2">
      <c r="X927" s="213"/>
      <c r="Y927" s="214"/>
      <c r="Z927" s="214"/>
      <c r="AA927" s="214"/>
    </row>
    <row r="928" spans="24:27" ht="12.75" x14ac:dyDescent="0.2">
      <c r="X928" s="213"/>
      <c r="Y928" s="214"/>
      <c r="Z928" s="214"/>
      <c r="AA928" s="214"/>
    </row>
    <row r="929" spans="24:27" ht="12.75" x14ac:dyDescent="0.2">
      <c r="X929" s="213"/>
      <c r="Y929" s="214"/>
      <c r="Z929" s="214"/>
      <c r="AA929" s="214"/>
    </row>
    <row r="930" spans="24:27" ht="12.75" x14ac:dyDescent="0.2">
      <c r="X930" s="213"/>
      <c r="Y930" s="214"/>
      <c r="Z930" s="214"/>
      <c r="AA930" s="214"/>
    </row>
    <row r="931" spans="24:27" ht="12.75" x14ac:dyDescent="0.2">
      <c r="X931" s="213"/>
      <c r="Y931" s="214"/>
      <c r="Z931" s="214"/>
      <c r="AA931" s="214"/>
    </row>
    <row r="932" spans="24:27" ht="12.75" x14ac:dyDescent="0.2">
      <c r="X932" s="213"/>
      <c r="Y932" s="214"/>
      <c r="Z932" s="214"/>
      <c r="AA932" s="214"/>
    </row>
    <row r="933" spans="24:27" ht="12.75" x14ac:dyDescent="0.2">
      <c r="X933" s="213"/>
      <c r="Y933" s="214"/>
      <c r="Z933" s="214"/>
      <c r="AA933" s="214"/>
    </row>
    <row r="934" spans="24:27" ht="12.75" x14ac:dyDescent="0.2">
      <c r="X934" s="213"/>
      <c r="Y934" s="214"/>
      <c r="Z934" s="214"/>
      <c r="AA934" s="214"/>
    </row>
    <row r="935" spans="24:27" ht="12.75" x14ac:dyDescent="0.2">
      <c r="X935" s="213"/>
      <c r="Y935" s="214"/>
      <c r="Z935" s="214"/>
      <c r="AA935" s="214"/>
    </row>
    <row r="936" spans="24:27" ht="12.75" x14ac:dyDescent="0.2">
      <c r="X936" s="213"/>
      <c r="Y936" s="214"/>
      <c r="Z936" s="214"/>
      <c r="AA936" s="214"/>
    </row>
    <row r="937" spans="24:27" ht="12.75" x14ac:dyDescent="0.2">
      <c r="X937" s="213"/>
      <c r="Y937" s="214"/>
      <c r="Z937" s="214"/>
      <c r="AA937" s="214"/>
    </row>
    <row r="938" spans="24:27" ht="12.75" x14ac:dyDescent="0.2">
      <c r="X938" s="213"/>
      <c r="Y938" s="214"/>
      <c r="Z938" s="214"/>
      <c r="AA938" s="214"/>
    </row>
    <row r="939" spans="24:27" ht="12.75" x14ac:dyDescent="0.2">
      <c r="X939" s="213"/>
      <c r="Y939" s="214"/>
      <c r="Z939" s="214"/>
      <c r="AA939" s="214"/>
    </row>
    <row r="940" spans="24:27" ht="12.75" x14ac:dyDescent="0.2">
      <c r="X940" s="213"/>
      <c r="Y940" s="214"/>
      <c r="Z940" s="214"/>
      <c r="AA940" s="214"/>
    </row>
    <row r="941" spans="24:27" ht="12.75" x14ac:dyDescent="0.2">
      <c r="X941" s="213"/>
      <c r="Y941" s="214"/>
      <c r="Z941" s="214"/>
      <c r="AA941" s="214"/>
    </row>
    <row r="942" spans="24:27" ht="12.75" x14ac:dyDescent="0.2">
      <c r="X942" s="213"/>
      <c r="Y942" s="214"/>
      <c r="Z942" s="214"/>
      <c r="AA942" s="214"/>
    </row>
    <row r="943" spans="24:27" ht="12.75" x14ac:dyDescent="0.2">
      <c r="X943" s="213"/>
      <c r="Y943" s="214"/>
      <c r="Z943" s="214"/>
      <c r="AA943" s="214"/>
    </row>
    <row r="944" spans="24:27" ht="12.75" x14ac:dyDescent="0.2">
      <c r="X944" s="213"/>
      <c r="Y944" s="214"/>
      <c r="Z944" s="214"/>
      <c r="AA944" s="214"/>
    </row>
    <row r="945" spans="24:27" ht="12.75" x14ac:dyDescent="0.2">
      <c r="X945" s="213"/>
      <c r="Y945" s="214"/>
      <c r="Z945" s="214"/>
      <c r="AA945" s="214"/>
    </row>
    <row r="946" spans="24:27" ht="12.75" x14ac:dyDescent="0.2">
      <c r="X946" s="213"/>
      <c r="Y946" s="214"/>
      <c r="Z946" s="214"/>
      <c r="AA946" s="214"/>
    </row>
    <row r="947" spans="24:27" ht="12.75" x14ac:dyDescent="0.2">
      <c r="X947" s="213"/>
      <c r="Y947" s="214"/>
      <c r="Z947" s="214"/>
      <c r="AA947" s="214"/>
    </row>
    <row r="948" spans="24:27" ht="12.75" x14ac:dyDescent="0.2">
      <c r="X948" s="213"/>
      <c r="Y948" s="214"/>
      <c r="Z948" s="214"/>
      <c r="AA948" s="214"/>
    </row>
    <row r="949" spans="24:27" ht="12.75" x14ac:dyDescent="0.2">
      <c r="X949" s="213"/>
      <c r="Y949" s="214"/>
      <c r="Z949" s="214"/>
      <c r="AA949" s="214"/>
    </row>
    <row r="950" spans="24:27" ht="12.75" x14ac:dyDescent="0.2">
      <c r="X950" s="213"/>
      <c r="Y950" s="214"/>
      <c r="Z950" s="214"/>
      <c r="AA950" s="214"/>
    </row>
    <row r="951" spans="24:27" ht="12.75" x14ac:dyDescent="0.2">
      <c r="X951" s="213"/>
      <c r="Y951" s="214"/>
      <c r="Z951" s="214"/>
      <c r="AA951" s="214"/>
    </row>
    <row r="952" spans="24:27" ht="12.75" x14ac:dyDescent="0.2">
      <c r="X952" s="213"/>
      <c r="Y952" s="214"/>
      <c r="Z952" s="214"/>
      <c r="AA952" s="214"/>
    </row>
    <row r="953" spans="24:27" ht="12.75" x14ac:dyDescent="0.2">
      <c r="X953" s="213"/>
      <c r="Y953" s="214"/>
      <c r="Z953" s="214"/>
      <c r="AA953" s="214"/>
    </row>
    <row r="954" spans="24:27" ht="12.75" x14ac:dyDescent="0.2">
      <c r="X954" s="213"/>
      <c r="Y954" s="214"/>
      <c r="Z954" s="214"/>
      <c r="AA954" s="214"/>
    </row>
    <row r="955" spans="24:27" ht="12.75" x14ac:dyDescent="0.2">
      <c r="X955" s="213"/>
      <c r="Y955" s="214"/>
      <c r="Z955" s="214"/>
      <c r="AA955" s="214"/>
    </row>
    <row r="956" spans="24:27" ht="12.75" x14ac:dyDescent="0.2">
      <c r="X956" s="213"/>
      <c r="Y956" s="214"/>
      <c r="Z956" s="214"/>
      <c r="AA956" s="214"/>
    </row>
    <row r="957" spans="24:27" ht="12.75" x14ac:dyDescent="0.2">
      <c r="X957" s="213"/>
      <c r="Y957" s="214"/>
      <c r="Z957" s="214"/>
      <c r="AA957" s="214"/>
    </row>
    <row r="958" spans="24:27" ht="12.75" x14ac:dyDescent="0.2">
      <c r="X958" s="213"/>
      <c r="Y958" s="214"/>
      <c r="Z958" s="214"/>
      <c r="AA958" s="214"/>
    </row>
    <row r="959" spans="24:27" ht="12.75" x14ac:dyDescent="0.2">
      <c r="X959" s="213"/>
      <c r="Y959" s="214"/>
      <c r="Z959" s="214"/>
      <c r="AA959" s="214"/>
    </row>
    <row r="960" spans="24:27" ht="12.75" x14ac:dyDescent="0.2">
      <c r="X960" s="213"/>
      <c r="Y960" s="214"/>
      <c r="Z960" s="214"/>
      <c r="AA960" s="214"/>
    </row>
    <row r="961" spans="24:27" ht="12.75" x14ac:dyDescent="0.2">
      <c r="X961" s="213"/>
      <c r="Y961" s="214"/>
      <c r="Z961" s="214"/>
      <c r="AA961" s="214"/>
    </row>
    <row r="962" spans="24:27" ht="12.75" x14ac:dyDescent="0.2">
      <c r="X962" s="213"/>
      <c r="Y962" s="214"/>
      <c r="Z962" s="214"/>
      <c r="AA962" s="214"/>
    </row>
    <row r="963" spans="24:27" ht="12.75" x14ac:dyDescent="0.2">
      <c r="X963" s="213"/>
      <c r="Y963" s="214"/>
      <c r="Z963" s="214"/>
      <c r="AA963" s="214"/>
    </row>
    <row r="964" spans="24:27" ht="12.75" x14ac:dyDescent="0.2">
      <c r="X964" s="213"/>
      <c r="Y964" s="214"/>
      <c r="Z964" s="214"/>
      <c r="AA964" s="214"/>
    </row>
    <row r="965" spans="24:27" ht="12.75" x14ac:dyDescent="0.2">
      <c r="X965" s="213"/>
      <c r="Y965" s="214"/>
      <c r="Z965" s="214"/>
      <c r="AA965" s="214"/>
    </row>
    <row r="966" spans="24:27" ht="12.75" x14ac:dyDescent="0.2">
      <c r="X966" s="213"/>
      <c r="Y966" s="214"/>
      <c r="Z966" s="214"/>
      <c r="AA966" s="214"/>
    </row>
    <row r="967" spans="24:27" ht="12.75" x14ac:dyDescent="0.2">
      <c r="X967" s="213"/>
      <c r="Y967" s="214"/>
      <c r="Z967" s="214"/>
      <c r="AA967" s="214"/>
    </row>
    <row r="968" spans="24:27" ht="12.75" x14ac:dyDescent="0.2">
      <c r="X968" s="213"/>
      <c r="Y968" s="214"/>
      <c r="Z968" s="214"/>
      <c r="AA968" s="214"/>
    </row>
    <row r="969" spans="24:27" ht="12.75" x14ac:dyDescent="0.2">
      <c r="X969" s="213"/>
      <c r="Y969" s="214"/>
      <c r="Z969" s="214"/>
      <c r="AA969" s="214"/>
    </row>
    <row r="970" spans="24:27" ht="12.75" x14ac:dyDescent="0.2">
      <c r="X970" s="213"/>
      <c r="Y970" s="214"/>
      <c r="Z970" s="214"/>
      <c r="AA970" s="214"/>
    </row>
    <row r="971" spans="24:27" ht="12.75" x14ac:dyDescent="0.2">
      <c r="X971" s="213"/>
      <c r="Y971" s="214"/>
      <c r="Z971" s="214"/>
      <c r="AA971" s="214"/>
    </row>
    <row r="972" spans="24:27" ht="12.75" x14ac:dyDescent="0.2">
      <c r="X972" s="213"/>
      <c r="Y972" s="214"/>
      <c r="Z972" s="214"/>
      <c r="AA972" s="214"/>
    </row>
    <row r="973" spans="24:27" ht="12.75" x14ac:dyDescent="0.2">
      <c r="X973" s="213"/>
      <c r="Y973" s="214"/>
      <c r="Z973" s="214"/>
      <c r="AA973" s="214"/>
    </row>
    <row r="974" spans="24:27" ht="12.75" x14ac:dyDescent="0.2">
      <c r="X974" s="213"/>
      <c r="Y974" s="214"/>
      <c r="Z974" s="214"/>
      <c r="AA974" s="214"/>
    </row>
    <row r="975" spans="24:27" ht="12.75" x14ac:dyDescent="0.2">
      <c r="X975" s="213"/>
      <c r="Y975" s="214"/>
      <c r="Z975" s="214"/>
      <c r="AA975" s="214"/>
    </row>
    <row r="976" spans="24:27" ht="12.75" x14ac:dyDescent="0.2">
      <c r="X976" s="213"/>
      <c r="Y976" s="214"/>
      <c r="Z976" s="214"/>
      <c r="AA976" s="214"/>
    </row>
    <row r="977" spans="24:27" ht="12.75" x14ac:dyDescent="0.2">
      <c r="X977" s="213"/>
      <c r="Y977" s="214"/>
      <c r="Z977" s="214"/>
      <c r="AA977" s="214"/>
    </row>
    <row r="978" spans="24:27" ht="12.75" x14ac:dyDescent="0.2">
      <c r="X978" s="213"/>
      <c r="Y978" s="214"/>
      <c r="Z978" s="214"/>
      <c r="AA978" s="214"/>
    </row>
    <row r="979" spans="24:27" ht="12.75" x14ac:dyDescent="0.2">
      <c r="X979" s="213"/>
      <c r="Y979" s="214"/>
      <c r="Z979" s="214"/>
      <c r="AA979" s="214"/>
    </row>
    <row r="980" spans="24:27" ht="12.75" x14ac:dyDescent="0.2">
      <c r="X980" s="213"/>
      <c r="Y980" s="214"/>
      <c r="Z980" s="214"/>
      <c r="AA980" s="214"/>
    </row>
    <row r="981" spans="24:27" ht="12.75" x14ac:dyDescent="0.2">
      <c r="X981" s="213"/>
      <c r="Y981" s="214"/>
      <c r="Z981" s="214"/>
      <c r="AA981" s="214"/>
    </row>
    <row r="982" spans="24:27" ht="12.75" x14ac:dyDescent="0.2">
      <c r="X982" s="213"/>
      <c r="Y982" s="214"/>
      <c r="Z982" s="214"/>
      <c r="AA982" s="214"/>
    </row>
    <row r="983" spans="24:27" ht="12.75" x14ac:dyDescent="0.2">
      <c r="X983" s="213"/>
      <c r="Y983" s="214"/>
      <c r="Z983" s="214"/>
      <c r="AA983" s="214"/>
    </row>
    <row r="984" spans="24:27" ht="12.75" x14ac:dyDescent="0.2">
      <c r="X984" s="213"/>
      <c r="Y984" s="214"/>
      <c r="Z984" s="214"/>
      <c r="AA984" s="214"/>
    </row>
    <row r="985" spans="24:27" ht="12.75" x14ac:dyDescent="0.2">
      <c r="X985" s="213"/>
      <c r="Y985" s="214"/>
      <c r="Z985" s="214"/>
      <c r="AA985" s="214"/>
    </row>
    <row r="986" spans="24:27" ht="12.75" x14ac:dyDescent="0.2">
      <c r="X986" s="213"/>
      <c r="Y986" s="214"/>
      <c r="Z986" s="214"/>
      <c r="AA986" s="214"/>
    </row>
    <row r="987" spans="24:27" ht="12.75" x14ac:dyDescent="0.2">
      <c r="X987" s="213"/>
      <c r="Y987" s="214"/>
      <c r="Z987" s="214"/>
      <c r="AA987" s="214"/>
    </row>
    <row r="988" spans="24:27" ht="12.75" x14ac:dyDescent="0.2">
      <c r="X988" s="213"/>
      <c r="Y988" s="214"/>
      <c r="Z988" s="214"/>
      <c r="AA988" s="214"/>
    </row>
    <row r="989" spans="24:27" ht="12.75" x14ac:dyDescent="0.2">
      <c r="X989" s="213"/>
      <c r="Y989" s="214"/>
      <c r="Z989" s="214"/>
      <c r="AA989" s="214"/>
    </row>
    <row r="990" spans="24:27" ht="12.75" x14ac:dyDescent="0.2">
      <c r="X990" s="213"/>
      <c r="Y990" s="214"/>
      <c r="Z990" s="214"/>
      <c r="AA990" s="214"/>
    </row>
    <row r="991" spans="24:27" ht="12.75" x14ac:dyDescent="0.2">
      <c r="X991" s="213"/>
      <c r="Y991" s="214"/>
      <c r="Z991" s="214"/>
      <c r="AA991" s="214"/>
    </row>
    <row r="992" spans="24:27" ht="12.75" x14ac:dyDescent="0.2">
      <c r="X992" s="213"/>
      <c r="Y992" s="214"/>
      <c r="Z992" s="214"/>
      <c r="AA992" s="214"/>
    </row>
    <row r="993" spans="24:27" ht="12.75" x14ac:dyDescent="0.2">
      <c r="X993" s="213"/>
      <c r="Y993" s="214"/>
      <c r="Z993" s="214"/>
      <c r="AA993" s="214"/>
    </row>
    <row r="994" spans="24:27" ht="12.75" x14ac:dyDescent="0.2">
      <c r="X994" s="213"/>
      <c r="Y994" s="214"/>
      <c r="Z994" s="214"/>
      <c r="AA994" s="214"/>
    </row>
    <row r="995" spans="24:27" ht="12.75" x14ac:dyDescent="0.2">
      <c r="X995" s="213"/>
      <c r="Y995" s="214"/>
      <c r="Z995" s="214"/>
      <c r="AA995" s="214"/>
    </row>
    <row r="996" spans="24:27" ht="12.75" x14ac:dyDescent="0.2">
      <c r="X996" s="213"/>
      <c r="Y996" s="214"/>
      <c r="Z996" s="214"/>
      <c r="AA996" s="214"/>
    </row>
    <row r="997" spans="24:27" ht="12.75" x14ac:dyDescent="0.2">
      <c r="X997" s="213"/>
      <c r="Y997" s="214"/>
      <c r="Z997" s="214"/>
      <c r="AA997" s="214"/>
    </row>
    <row r="998" spans="24:27" ht="12.75" x14ac:dyDescent="0.2">
      <c r="X998" s="213"/>
      <c r="Y998" s="214"/>
      <c r="Z998" s="214"/>
      <c r="AA998" s="214"/>
    </row>
    <row r="999" spans="24:27" ht="12.75" x14ac:dyDescent="0.2">
      <c r="X999" s="213"/>
      <c r="Y999" s="214"/>
      <c r="Z999" s="214"/>
      <c r="AA999" s="214"/>
    </row>
    <row r="1000" spans="24:27" ht="12.75" x14ac:dyDescent="0.2">
      <c r="X1000" s="213"/>
      <c r="Y1000" s="214"/>
      <c r="Z1000" s="214"/>
      <c r="AA1000" s="214"/>
    </row>
  </sheetData>
  <mergeCells count="3">
    <mergeCell ref="C3:N3"/>
    <mergeCell ref="O3:X3"/>
    <mergeCell ref="B45:F4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4A86E8"/>
    <outlinePr summaryBelow="0" summaryRight="0"/>
    <pageSetUpPr fitToPage="1"/>
  </sheetPr>
  <dimension ref="A1:Z817"/>
  <sheetViews>
    <sheetView workbookViewId="0">
      <pane xSplit="3" topLeftCell="D1" activePane="topRight" state="frozen"/>
      <selection pane="topRight" activeCell="E2" sqref="E2"/>
    </sheetView>
  </sheetViews>
  <sheetFormatPr defaultColWidth="12.5703125" defaultRowHeight="15" customHeight="1" outlineLevelRow="1" x14ac:dyDescent="0.2"/>
  <cols>
    <col min="1" max="1" width="9.7109375" hidden="1" customWidth="1"/>
    <col min="2" max="2" width="36.85546875" customWidth="1"/>
    <col min="3" max="3" width="11.140625" customWidth="1"/>
    <col min="4" max="15" width="10.140625" customWidth="1"/>
    <col min="16" max="16" width="12.28515625" customWidth="1"/>
  </cols>
  <sheetData>
    <row r="1" spans="1:26" ht="15.75" hidden="1" customHeight="1" outlineLevel="1" x14ac:dyDescent="0.2">
      <c r="A1" s="25"/>
      <c r="B1" s="134"/>
      <c r="C1" s="134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246"/>
      <c r="Q1" s="9"/>
      <c r="R1" s="9"/>
      <c r="S1" s="9"/>
      <c r="T1" s="9"/>
      <c r="U1" s="9"/>
      <c r="V1" s="9"/>
      <c r="W1" s="9"/>
      <c r="X1" s="9"/>
      <c r="Y1" s="9"/>
      <c r="Z1" s="9"/>
    </row>
    <row r="2" spans="1:26" ht="15.75" hidden="1" customHeight="1" outlineLevel="1" x14ac:dyDescent="0.2">
      <c r="A2" s="120"/>
      <c r="B2" s="127" t="s">
        <v>99</v>
      </c>
      <c r="C2" s="127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8"/>
      <c r="Q2" s="9"/>
      <c r="R2" s="9"/>
      <c r="S2" s="9"/>
      <c r="T2" s="9"/>
      <c r="U2" s="9"/>
      <c r="V2" s="9"/>
      <c r="W2" s="9"/>
      <c r="X2" s="9"/>
      <c r="Y2" s="9"/>
      <c r="Z2" s="9"/>
    </row>
    <row r="3" spans="1:26" ht="15.75" hidden="1" customHeight="1" outlineLevel="1" x14ac:dyDescent="0.2">
      <c r="A3" s="120"/>
      <c r="B3" s="127"/>
      <c r="C3" s="127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8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5.75" hidden="1" customHeight="1" outlineLevel="1" x14ac:dyDescent="0.2">
      <c r="A4" s="120"/>
      <c r="B4" s="18" t="s">
        <v>100</v>
      </c>
      <c r="C4" s="122"/>
      <c r="D4" s="161"/>
      <c r="E4" s="161"/>
      <c r="F4" s="161"/>
      <c r="G4" s="161"/>
      <c r="H4" s="161"/>
      <c r="I4" s="161"/>
      <c r="J4" s="161"/>
      <c r="K4" s="161"/>
      <c r="L4" s="161"/>
      <c r="M4" s="161"/>
      <c r="N4" s="161"/>
      <c r="O4" s="161"/>
      <c r="P4" s="8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5.75" hidden="1" customHeight="1" outlineLevel="1" x14ac:dyDescent="0.2">
      <c r="A5" s="25"/>
      <c r="B5" s="34" t="s">
        <v>101</v>
      </c>
      <c r="C5" s="247" t="str">
        <f>IFERROR(SUM(D4:P4)/SUM(D8:P8),"")</f>
        <v/>
      </c>
      <c r="D5" s="122"/>
      <c r="E5" s="72"/>
      <c r="F5" s="72"/>
      <c r="G5" s="72"/>
      <c r="H5" s="72"/>
      <c r="I5" s="72"/>
      <c r="J5" s="72"/>
      <c r="K5" s="72"/>
      <c r="L5" s="72"/>
      <c r="M5" s="72"/>
      <c r="N5" s="72"/>
      <c r="O5" s="72"/>
      <c r="P5" s="8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5.75" hidden="1" customHeight="1" outlineLevel="1" x14ac:dyDescent="0.2">
      <c r="A6" s="25"/>
      <c r="B6" s="34" t="s">
        <v>102</v>
      </c>
      <c r="C6" s="122"/>
      <c r="D6" s="122">
        <f t="shared" ref="D6:O6" si="0">IF(D4="",C7,D4)</f>
        <v>0</v>
      </c>
      <c r="E6" s="122">
        <f t="shared" si="0"/>
        <v>0</v>
      </c>
      <c r="F6" s="122">
        <f t="shared" si="0"/>
        <v>0</v>
      </c>
      <c r="G6" s="122">
        <f t="shared" si="0"/>
        <v>0</v>
      </c>
      <c r="H6" s="122">
        <f t="shared" si="0"/>
        <v>0</v>
      </c>
      <c r="I6" s="122">
        <f t="shared" si="0"/>
        <v>0</v>
      </c>
      <c r="J6" s="122">
        <f t="shared" si="0"/>
        <v>0</v>
      </c>
      <c r="K6" s="122">
        <f t="shared" si="0"/>
        <v>0</v>
      </c>
      <c r="L6" s="122">
        <f t="shared" si="0"/>
        <v>0</v>
      </c>
      <c r="M6" s="122">
        <f t="shared" si="0"/>
        <v>0</v>
      </c>
      <c r="N6" s="122">
        <f t="shared" si="0"/>
        <v>0</v>
      </c>
      <c r="O6" s="122">
        <f t="shared" si="0"/>
        <v>0</v>
      </c>
      <c r="P6" s="8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5.75" hidden="1" customHeight="1" outlineLevel="1" x14ac:dyDescent="0.2">
      <c r="A7" s="25"/>
      <c r="B7" s="34" t="s">
        <v>103</v>
      </c>
      <c r="C7" s="122"/>
      <c r="D7" s="163">
        <f t="shared" ref="D7:O7" si="1">IF(D6&gt;0,D6-$C$5,IF(D4="",0,D4-$C$5))</f>
        <v>0</v>
      </c>
      <c r="E7" s="163">
        <f t="shared" si="1"/>
        <v>0</v>
      </c>
      <c r="F7" s="163">
        <f t="shared" si="1"/>
        <v>0</v>
      </c>
      <c r="G7" s="163">
        <f t="shared" si="1"/>
        <v>0</v>
      </c>
      <c r="H7" s="163">
        <f t="shared" si="1"/>
        <v>0</v>
      </c>
      <c r="I7" s="163">
        <f t="shared" si="1"/>
        <v>0</v>
      </c>
      <c r="J7" s="163">
        <f t="shared" si="1"/>
        <v>0</v>
      </c>
      <c r="K7" s="163">
        <f t="shared" si="1"/>
        <v>0</v>
      </c>
      <c r="L7" s="163">
        <f t="shared" si="1"/>
        <v>0</v>
      </c>
      <c r="M7" s="163">
        <f t="shared" si="1"/>
        <v>0</v>
      </c>
      <c r="N7" s="163">
        <f t="shared" si="1"/>
        <v>0</v>
      </c>
      <c r="O7" s="163">
        <f t="shared" si="1"/>
        <v>0</v>
      </c>
      <c r="P7" s="8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5.75" hidden="1" customHeight="1" outlineLevel="1" x14ac:dyDescent="0.2">
      <c r="A8" s="25"/>
      <c r="B8" s="34" t="s">
        <v>104</v>
      </c>
      <c r="C8" s="122"/>
      <c r="D8" s="161"/>
      <c r="E8" s="161"/>
      <c r="F8" s="161"/>
      <c r="G8" s="161"/>
      <c r="H8" s="161"/>
      <c r="I8" s="161"/>
      <c r="J8" s="161"/>
      <c r="K8" s="161"/>
      <c r="L8" s="161"/>
      <c r="M8" s="161"/>
      <c r="N8" s="161"/>
      <c r="O8" s="161"/>
      <c r="P8" s="8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5.75" hidden="1" customHeight="1" outlineLevel="1" x14ac:dyDescent="0.2">
      <c r="A9" s="25"/>
      <c r="B9" s="134"/>
      <c r="C9" s="134"/>
      <c r="D9" s="72"/>
      <c r="E9" s="72"/>
      <c r="F9" s="72"/>
      <c r="G9" s="72"/>
      <c r="H9" s="72"/>
      <c r="I9" s="72"/>
      <c r="J9" s="72"/>
      <c r="K9" s="72"/>
      <c r="L9" s="72"/>
      <c r="M9" s="72"/>
      <c r="N9" s="72"/>
      <c r="O9" s="72"/>
      <c r="P9" s="246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68.25" customHeight="1" x14ac:dyDescent="0.2">
      <c r="A10" s="25"/>
      <c r="B10" s="134"/>
      <c r="C10" s="134"/>
      <c r="D10" s="492" t="s">
        <v>210</v>
      </c>
      <c r="E10" s="477"/>
      <c r="F10" s="477"/>
      <c r="G10" s="477"/>
      <c r="H10" s="477"/>
      <c r="I10" s="477"/>
      <c r="J10" s="477"/>
      <c r="K10" s="477"/>
      <c r="L10" s="477"/>
      <c r="M10" s="477"/>
      <c r="N10" s="477"/>
      <c r="O10" s="477"/>
      <c r="P10" s="246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5.75" hidden="1" customHeight="1" x14ac:dyDescent="0.2">
      <c r="A11" s="18"/>
      <c r="B11" s="103" t="s">
        <v>105</v>
      </c>
      <c r="C11" s="103"/>
      <c r="D11" s="77" t="e">
        <f t="shared" ref="D11:O11" si="2">D49+D72-D84+D78</f>
        <v>#REF!</v>
      </c>
      <c r="E11" s="77" t="e">
        <f t="shared" si="2"/>
        <v>#REF!</v>
      </c>
      <c r="F11" s="77" t="e">
        <f t="shared" si="2"/>
        <v>#REF!</v>
      </c>
      <c r="G11" s="77" t="e">
        <f t="shared" si="2"/>
        <v>#REF!</v>
      </c>
      <c r="H11" s="77" t="e">
        <f t="shared" si="2"/>
        <v>#REF!</v>
      </c>
      <c r="I11" s="77" t="e">
        <f t="shared" si="2"/>
        <v>#REF!</v>
      </c>
      <c r="J11" s="77" t="e">
        <f t="shared" si="2"/>
        <v>#REF!</v>
      </c>
      <c r="K11" s="77" t="e">
        <f t="shared" si="2"/>
        <v>#REF!</v>
      </c>
      <c r="L11" s="77" t="e">
        <f t="shared" si="2"/>
        <v>#REF!</v>
      </c>
      <c r="M11" s="77" t="e">
        <f t="shared" si="2"/>
        <v>#REF!</v>
      </c>
      <c r="N11" s="77" t="e">
        <f t="shared" si="2"/>
        <v>#REF!</v>
      </c>
      <c r="O11" s="77" t="e">
        <f t="shared" si="2"/>
        <v>#REF!</v>
      </c>
      <c r="P11" s="246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5.75" hidden="1" customHeight="1" x14ac:dyDescent="0.2">
      <c r="A12" s="34"/>
      <c r="B12" s="485" t="s">
        <v>106</v>
      </c>
      <c r="C12" s="477"/>
      <c r="D12" s="5" t="e">
        <f t="shared" ref="D12:O12" si="3">D50+D73+D79-D85</f>
        <v>#REF!</v>
      </c>
      <c r="E12" s="5" t="e">
        <f t="shared" si="3"/>
        <v>#REF!</v>
      </c>
      <c r="F12" s="5" t="e">
        <f t="shared" si="3"/>
        <v>#REF!</v>
      </c>
      <c r="G12" s="5" t="e">
        <f t="shared" si="3"/>
        <v>#REF!</v>
      </c>
      <c r="H12" s="5" t="e">
        <f t="shared" si="3"/>
        <v>#REF!</v>
      </c>
      <c r="I12" s="5" t="e">
        <f t="shared" si="3"/>
        <v>#REF!</v>
      </c>
      <c r="J12" s="5" t="e">
        <f t="shared" si="3"/>
        <v>#REF!</v>
      </c>
      <c r="K12" s="5" t="e">
        <f t="shared" si="3"/>
        <v>#REF!</v>
      </c>
      <c r="L12" s="5" t="e">
        <f t="shared" si="3"/>
        <v>#REF!</v>
      </c>
      <c r="M12" s="5" t="e">
        <f t="shared" si="3"/>
        <v>#REF!</v>
      </c>
      <c r="N12" s="5" t="e">
        <f t="shared" si="3"/>
        <v>#REF!</v>
      </c>
      <c r="O12" s="5" t="e">
        <f t="shared" si="3"/>
        <v>#REF!</v>
      </c>
      <c r="P12" s="8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5.75" customHeight="1" x14ac:dyDescent="0.2">
      <c r="A13" s="177"/>
      <c r="B13" s="248" t="s">
        <v>211</v>
      </c>
      <c r="C13" s="178"/>
      <c r="D13" s="169" t="s">
        <v>17</v>
      </c>
      <c r="E13" s="169" t="s">
        <v>18</v>
      </c>
      <c r="F13" s="169" t="s">
        <v>19</v>
      </c>
      <c r="G13" s="169" t="s">
        <v>20</v>
      </c>
      <c r="H13" s="169" t="s">
        <v>21</v>
      </c>
      <c r="I13" s="169" t="s">
        <v>22</v>
      </c>
      <c r="J13" s="169" t="s">
        <v>23</v>
      </c>
      <c r="K13" s="169" t="s">
        <v>24</v>
      </c>
      <c r="L13" s="169" t="s">
        <v>25</v>
      </c>
      <c r="M13" s="169" t="s">
        <v>14</v>
      </c>
      <c r="N13" s="169" t="s">
        <v>15</v>
      </c>
      <c r="O13" s="169" t="s">
        <v>16</v>
      </c>
      <c r="P13" s="8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5.75" customHeight="1" x14ac:dyDescent="0.2">
      <c r="A14" s="177"/>
      <c r="B14" s="24" t="s">
        <v>109</v>
      </c>
      <c r="C14" s="249">
        <f>'Расчетный лист'!C76</f>
        <v>0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8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15.75" customHeight="1" x14ac:dyDescent="0.2">
      <c r="A15" s="177"/>
      <c r="B15" s="186" t="s">
        <v>212</v>
      </c>
      <c r="C15" s="125">
        <v>110</v>
      </c>
      <c r="D15" s="185">
        <f>D16*$C15</f>
        <v>817410</v>
      </c>
      <c r="E15" s="185">
        <f t="shared" ref="E15:O15" si="4">D24</f>
        <v>1054240</v>
      </c>
      <c r="F15" s="185">
        <f t="shared" si="4"/>
        <v>847110</v>
      </c>
      <c r="G15" s="185">
        <f t="shared" si="4"/>
        <v>572880</v>
      </c>
      <c r="H15" s="185">
        <f t="shared" si="4"/>
        <v>372680</v>
      </c>
      <c r="I15" s="185">
        <f t="shared" si="4"/>
        <v>282480</v>
      </c>
      <c r="J15" s="185">
        <f t="shared" si="4"/>
        <v>225280</v>
      </c>
      <c r="K15" s="185">
        <f t="shared" si="4"/>
        <v>201080</v>
      </c>
      <c r="L15" s="185">
        <f t="shared" si="4"/>
        <v>187880</v>
      </c>
      <c r="M15" s="185">
        <f t="shared" si="4"/>
        <v>185680</v>
      </c>
      <c r="N15" s="185">
        <f t="shared" si="4"/>
        <v>194480</v>
      </c>
      <c r="O15" s="185">
        <f t="shared" si="4"/>
        <v>208120</v>
      </c>
      <c r="P15" s="8"/>
      <c r="Q15" s="10"/>
      <c r="R15" s="10"/>
      <c r="S15" s="9"/>
      <c r="T15" s="9"/>
      <c r="U15" s="9"/>
      <c r="V15" s="9"/>
      <c r="W15" s="9"/>
      <c r="X15" s="9"/>
      <c r="Y15" s="9"/>
      <c r="Z15" s="9"/>
    </row>
    <row r="16" spans="1:26" ht="15.75" customHeight="1" x14ac:dyDescent="0.2">
      <c r="A16" s="177"/>
      <c r="B16" s="139" t="s">
        <v>213</v>
      </c>
      <c r="C16" s="125">
        <f>5022+2409</f>
        <v>7431</v>
      </c>
      <c r="D16" s="5">
        <f>C16</f>
        <v>7431</v>
      </c>
      <c r="E16" s="5">
        <f t="shared" ref="E16:O16" si="5">D25</f>
        <v>9584</v>
      </c>
      <c r="F16" s="250">
        <f t="shared" si="5"/>
        <v>7701</v>
      </c>
      <c r="G16" s="5">
        <f t="shared" si="5"/>
        <v>5208</v>
      </c>
      <c r="H16" s="251">
        <f t="shared" si="5"/>
        <v>3388</v>
      </c>
      <c r="I16" s="5">
        <f t="shared" si="5"/>
        <v>2568</v>
      </c>
      <c r="J16" s="5">
        <f t="shared" si="5"/>
        <v>2048</v>
      </c>
      <c r="K16" s="5">
        <f t="shared" si="5"/>
        <v>1828</v>
      </c>
      <c r="L16" s="5">
        <f t="shared" si="5"/>
        <v>1708</v>
      </c>
      <c r="M16" s="5">
        <f t="shared" si="5"/>
        <v>1688</v>
      </c>
      <c r="N16" s="5">
        <f t="shared" si="5"/>
        <v>1768</v>
      </c>
      <c r="O16" s="5">
        <f t="shared" si="5"/>
        <v>1892</v>
      </c>
      <c r="P16" s="8"/>
      <c r="Q16" s="10"/>
      <c r="R16" s="10"/>
      <c r="S16" s="9"/>
      <c r="T16" s="9"/>
      <c r="U16" s="9"/>
      <c r="V16" s="9"/>
      <c r="W16" s="9"/>
      <c r="X16" s="9"/>
      <c r="Y16" s="9"/>
      <c r="Z16" s="9"/>
    </row>
    <row r="17" spans="1:26" ht="15.75" customHeight="1" x14ac:dyDescent="0.2">
      <c r="A17" s="177"/>
      <c r="B17" s="485" t="s">
        <v>214</v>
      </c>
      <c r="C17" s="477"/>
      <c r="D17" s="5">
        <v>1747</v>
      </c>
      <c r="E17" s="5">
        <v>1883</v>
      </c>
      <c r="F17" s="5">
        <v>2493</v>
      </c>
      <c r="G17" s="5">
        <v>1820</v>
      </c>
      <c r="H17" s="5">
        <v>1820</v>
      </c>
      <c r="I17" s="5">
        <v>1820</v>
      </c>
      <c r="J17" s="5">
        <v>1820</v>
      </c>
      <c r="K17" s="5">
        <v>1820</v>
      </c>
      <c r="L17" s="5">
        <v>1820</v>
      </c>
      <c r="M17" s="5">
        <v>1820</v>
      </c>
      <c r="N17" s="5">
        <v>1776</v>
      </c>
      <c r="O17" s="5">
        <v>1873</v>
      </c>
      <c r="P17" s="8"/>
      <c r="Q17" s="10"/>
      <c r="R17" s="10"/>
      <c r="S17" s="9"/>
      <c r="T17" s="9"/>
      <c r="U17" s="9"/>
      <c r="V17" s="9"/>
      <c r="W17" s="9"/>
      <c r="X17" s="9"/>
      <c r="Y17" s="9"/>
      <c r="Z17" s="9"/>
    </row>
    <row r="18" spans="1:26" ht="15.75" customHeight="1" x14ac:dyDescent="0.2">
      <c r="A18" s="177"/>
      <c r="B18" s="46" t="s">
        <v>215</v>
      </c>
      <c r="C18" s="125">
        <v>110</v>
      </c>
      <c r="D18" s="5">
        <f t="shared" ref="D18:O18" si="6">D17*$C18</f>
        <v>192170</v>
      </c>
      <c r="E18" s="5">
        <f t="shared" si="6"/>
        <v>207130</v>
      </c>
      <c r="F18" s="5">
        <f t="shared" si="6"/>
        <v>274230</v>
      </c>
      <c r="G18" s="5">
        <f t="shared" si="6"/>
        <v>200200</v>
      </c>
      <c r="H18" s="5">
        <f t="shared" si="6"/>
        <v>200200</v>
      </c>
      <c r="I18" s="5">
        <f t="shared" si="6"/>
        <v>200200</v>
      </c>
      <c r="J18" s="5">
        <f t="shared" si="6"/>
        <v>200200</v>
      </c>
      <c r="K18" s="5">
        <f t="shared" si="6"/>
        <v>200200</v>
      </c>
      <c r="L18" s="5">
        <f t="shared" si="6"/>
        <v>200200</v>
      </c>
      <c r="M18" s="5">
        <f t="shared" si="6"/>
        <v>200200</v>
      </c>
      <c r="N18" s="5">
        <f t="shared" si="6"/>
        <v>195360</v>
      </c>
      <c r="O18" s="5">
        <f t="shared" si="6"/>
        <v>206030</v>
      </c>
      <c r="P18" s="8"/>
      <c r="Q18" s="493"/>
      <c r="R18" s="477"/>
      <c r="S18" s="9"/>
      <c r="T18" s="9"/>
      <c r="U18" s="9"/>
      <c r="V18" s="9"/>
      <c r="W18" s="9"/>
      <c r="X18" s="9"/>
      <c r="Y18" s="9"/>
      <c r="Z18" s="9"/>
    </row>
    <row r="19" spans="1:26" ht="15.75" customHeight="1" x14ac:dyDescent="0.2">
      <c r="A19" s="177"/>
      <c r="B19" s="252" t="s">
        <v>216</v>
      </c>
      <c r="C19" s="125">
        <v>110</v>
      </c>
      <c r="D19" s="185">
        <f t="shared" ref="D19:O19" si="7">$C19*D20</f>
        <v>625240</v>
      </c>
      <c r="E19" s="185">
        <f t="shared" si="7"/>
        <v>847110</v>
      </c>
      <c r="F19" s="185">
        <f t="shared" si="7"/>
        <v>572880</v>
      </c>
      <c r="G19" s="185">
        <f t="shared" si="7"/>
        <v>372680</v>
      </c>
      <c r="H19" s="185">
        <f t="shared" si="7"/>
        <v>172480</v>
      </c>
      <c r="I19" s="185">
        <f t="shared" si="7"/>
        <v>82280</v>
      </c>
      <c r="J19" s="185">
        <f t="shared" si="7"/>
        <v>25080</v>
      </c>
      <c r="K19" s="185">
        <f t="shared" si="7"/>
        <v>880</v>
      </c>
      <c r="L19" s="185">
        <f t="shared" si="7"/>
        <v>-12320</v>
      </c>
      <c r="M19" s="185">
        <f t="shared" si="7"/>
        <v>-14520</v>
      </c>
      <c r="N19" s="185">
        <f t="shared" si="7"/>
        <v>-880</v>
      </c>
      <c r="O19" s="185">
        <f t="shared" si="7"/>
        <v>2090</v>
      </c>
      <c r="P19" s="8"/>
      <c r="Q19" s="10"/>
      <c r="R19" s="10"/>
      <c r="S19" s="9"/>
      <c r="T19" s="9"/>
      <c r="U19" s="9"/>
      <c r="V19" s="9"/>
      <c r="W19" s="9"/>
      <c r="X19" s="9"/>
      <c r="Y19" s="9"/>
      <c r="Z19" s="9"/>
    </row>
    <row r="20" spans="1:26" ht="15.75" customHeight="1" x14ac:dyDescent="0.2">
      <c r="A20" s="177"/>
      <c r="B20" s="139" t="s">
        <v>217</v>
      </c>
      <c r="C20" s="127"/>
      <c r="D20" s="6">
        <f t="shared" ref="D20:O20" si="8">D16-D17</f>
        <v>5684</v>
      </c>
      <c r="E20" s="6">
        <f t="shared" si="8"/>
        <v>7701</v>
      </c>
      <c r="F20" s="6">
        <f t="shared" si="8"/>
        <v>5208</v>
      </c>
      <c r="G20" s="6">
        <f t="shared" si="8"/>
        <v>3388</v>
      </c>
      <c r="H20" s="6">
        <f t="shared" si="8"/>
        <v>1568</v>
      </c>
      <c r="I20" s="6">
        <f t="shared" si="8"/>
        <v>748</v>
      </c>
      <c r="J20" s="6">
        <f t="shared" si="8"/>
        <v>228</v>
      </c>
      <c r="K20" s="6">
        <f t="shared" si="8"/>
        <v>8</v>
      </c>
      <c r="L20" s="6">
        <f t="shared" si="8"/>
        <v>-112</v>
      </c>
      <c r="M20" s="6">
        <f t="shared" si="8"/>
        <v>-132</v>
      </c>
      <c r="N20" s="6">
        <f t="shared" si="8"/>
        <v>-8</v>
      </c>
      <c r="O20" s="6">
        <f t="shared" si="8"/>
        <v>19</v>
      </c>
      <c r="P20" s="8"/>
      <c r="Q20" s="10"/>
      <c r="R20" s="10"/>
      <c r="S20" s="9"/>
      <c r="T20" s="9"/>
      <c r="U20" s="9"/>
      <c r="V20" s="9"/>
      <c r="W20" s="9"/>
      <c r="X20" s="9"/>
      <c r="Y20" s="9"/>
      <c r="Z20" s="9"/>
    </row>
    <row r="21" spans="1:26" ht="15.75" customHeight="1" x14ac:dyDescent="0.2">
      <c r="A21" s="177"/>
      <c r="B21" s="252" t="s">
        <v>218</v>
      </c>
      <c r="C21" s="127"/>
      <c r="D21" s="183">
        <f t="shared" ref="D21:O21" si="9">D22*D23</f>
        <v>408759</v>
      </c>
      <c r="E21" s="183">
        <f t="shared" si="9"/>
        <v>0</v>
      </c>
      <c r="F21" s="183">
        <f t="shared" si="9"/>
        <v>0</v>
      </c>
      <c r="G21" s="183">
        <f t="shared" si="9"/>
        <v>0</v>
      </c>
      <c r="H21" s="253">
        <f t="shared" si="9"/>
        <v>110000</v>
      </c>
      <c r="I21" s="253">
        <f t="shared" si="9"/>
        <v>143000</v>
      </c>
      <c r="J21" s="253">
        <f t="shared" si="9"/>
        <v>176000</v>
      </c>
      <c r="K21" s="253">
        <f t="shared" si="9"/>
        <v>187000</v>
      </c>
      <c r="L21" s="253">
        <f t="shared" si="9"/>
        <v>198000</v>
      </c>
      <c r="M21" s="253">
        <f t="shared" si="9"/>
        <v>209000</v>
      </c>
      <c r="N21" s="253">
        <f t="shared" si="9"/>
        <v>209000</v>
      </c>
      <c r="O21" s="253">
        <f t="shared" si="9"/>
        <v>209000</v>
      </c>
      <c r="P21" s="8"/>
      <c r="Q21" s="10"/>
      <c r="R21" s="10"/>
      <c r="S21" s="9"/>
      <c r="T21" s="9"/>
      <c r="U21" s="9"/>
      <c r="V21" s="9"/>
      <c r="W21" s="9"/>
      <c r="X21" s="9"/>
      <c r="Y21" s="9"/>
      <c r="Z21" s="9"/>
    </row>
    <row r="22" spans="1:26" ht="15.75" customHeight="1" x14ac:dyDescent="0.2">
      <c r="A22" s="177"/>
      <c r="B22" s="166" t="s">
        <v>219</v>
      </c>
      <c r="C22" s="127"/>
      <c r="D22" s="6">
        <v>3900</v>
      </c>
      <c r="E22" s="5"/>
      <c r="F22" s="5"/>
      <c r="G22" s="5"/>
      <c r="H22" s="254">
        <v>1000</v>
      </c>
      <c r="I22" s="254">
        <v>1300</v>
      </c>
      <c r="J22" s="254">
        <v>1600</v>
      </c>
      <c r="K22" s="254">
        <v>1700</v>
      </c>
      <c r="L22" s="254">
        <v>1800</v>
      </c>
      <c r="M22" s="254">
        <v>1900</v>
      </c>
      <c r="N22" s="254">
        <v>1900</v>
      </c>
      <c r="O22" s="254">
        <v>1900</v>
      </c>
      <c r="P22" s="8"/>
      <c r="Q22" s="10"/>
      <c r="R22" s="10"/>
      <c r="S22" s="9"/>
      <c r="T22" s="9"/>
      <c r="U22" s="9"/>
      <c r="V22" s="9"/>
      <c r="W22" s="9"/>
      <c r="X22" s="9"/>
      <c r="Y22" s="9"/>
      <c r="Z22" s="9"/>
    </row>
    <row r="23" spans="1:26" ht="15.75" customHeight="1" x14ac:dyDescent="0.2">
      <c r="A23" s="177"/>
      <c r="B23" s="166" t="s">
        <v>220</v>
      </c>
      <c r="C23" s="127"/>
      <c r="D23" s="6">
        <v>104.81</v>
      </c>
      <c r="E23" s="5"/>
      <c r="F23" s="5"/>
      <c r="G23" s="5"/>
      <c r="H23" s="251">
        <f t="shared" ref="H23:O23" si="10">$C19</f>
        <v>110</v>
      </c>
      <c r="I23" s="251">
        <f t="shared" si="10"/>
        <v>110</v>
      </c>
      <c r="J23" s="251">
        <f t="shared" si="10"/>
        <v>110</v>
      </c>
      <c r="K23" s="251">
        <f t="shared" si="10"/>
        <v>110</v>
      </c>
      <c r="L23" s="251">
        <f t="shared" si="10"/>
        <v>110</v>
      </c>
      <c r="M23" s="251">
        <f t="shared" si="10"/>
        <v>110</v>
      </c>
      <c r="N23" s="251">
        <f t="shared" si="10"/>
        <v>110</v>
      </c>
      <c r="O23" s="251">
        <f t="shared" si="10"/>
        <v>110</v>
      </c>
      <c r="P23" s="8"/>
      <c r="Q23" s="10"/>
      <c r="R23" s="10"/>
      <c r="S23" s="9"/>
      <c r="T23" s="9"/>
      <c r="U23" s="9"/>
      <c r="V23" s="9"/>
      <c r="W23" s="9"/>
      <c r="X23" s="9"/>
      <c r="Y23" s="9"/>
      <c r="Z23" s="9"/>
    </row>
    <row r="24" spans="1:26" ht="15.75" customHeight="1" x14ac:dyDescent="0.2">
      <c r="A24" s="177"/>
      <c r="B24" s="252" t="s">
        <v>221</v>
      </c>
      <c r="C24" s="125">
        <v>110</v>
      </c>
      <c r="D24" s="185">
        <f t="shared" ref="D24:O24" si="11">D25*$C24</f>
        <v>1054240</v>
      </c>
      <c r="E24" s="185">
        <f t="shared" si="11"/>
        <v>847110</v>
      </c>
      <c r="F24" s="185">
        <f t="shared" si="11"/>
        <v>572880</v>
      </c>
      <c r="G24" s="185">
        <f t="shared" si="11"/>
        <v>372680</v>
      </c>
      <c r="H24" s="185">
        <f t="shared" si="11"/>
        <v>282480</v>
      </c>
      <c r="I24" s="185">
        <f t="shared" si="11"/>
        <v>225280</v>
      </c>
      <c r="J24" s="185">
        <f t="shared" si="11"/>
        <v>201080</v>
      </c>
      <c r="K24" s="185">
        <f t="shared" si="11"/>
        <v>187880</v>
      </c>
      <c r="L24" s="185">
        <f t="shared" si="11"/>
        <v>185680</v>
      </c>
      <c r="M24" s="185">
        <f t="shared" si="11"/>
        <v>194480</v>
      </c>
      <c r="N24" s="185">
        <f t="shared" si="11"/>
        <v>208120</v>
      </c>
      <c r="O24" s="185">
        <f t="shared" si="11"/>
        <v>211090</v>
      </c>
      <c r="P24" s="8"/>
      <c r="Q24" s="10"/>
      <c r="R24" s="10"/>
      <c r="S24" s="9"/>
      <c r="T24" s="9"/>
      <c r="U24" s="9"/>
      <c r="V24" s="9"/>
      <c r="W24" s="9"/>
      <c r="X24" s="9"/>
      <c r="Y24" s="9"/>
      <c r="Z24" s="9"/>
    </row>
    <row r="25" spans="1:26" ht="15.75" customHeight="1" x14ac:dyDescent="0.2">
      <c r="A25" s="177"/>
      <c r="B25" s="255" t="s">
        <v>222</v>
      </c>
      <c r="C25" s="127"/>
      <c r="D25" s="5">
        <f t="shared" ref="D25:O25" si="12">D16-D17+D22</f>
        <v>9584</v>
      </c>
      <c r="E25" s="5">
        <f t="shared" si="12"/>
        <v>7701</v>
      </c>
      <c r="F25" s="5">
        <f t="shared" si="12"/>
        <v>5208</v>
      </c>
      <c r="G25" s="5">
        <f t="shared" si="12"/>
        <v>3388</v>
      </c>
      <c r="H25" s="5">
        <f t="shared" si="12"/>
        <v>2568</v>
      </c>
      <c r="I25" s="5">
        <f t="shared" si="12"/>
        <v>2048</v>
      </c>
      <c r="J25" s="5">
        <f t="shared" si="12"/>
        <v>1828</v>
      </c>
      <c r="K25" s="5">
        <f t="shared" si="12"/>
        <v>1708</v>
      </c>
      <c r="L25" s="5">
        <f t="shared" si="12"/>
        <v>1688</v>
      </c>
      <c r="M25" s="5">
        <f t="shared" si="12"/>
        <v>1768</v>
      </c>
      <c r="N25" s="5">
        <f t="shared" si="12"/>
        <v>1892</v>
      </c>
      <c r="O25" s="5">
        <f t="shared" si="12"/>
        <v>1919</v>
      </c>
      <c r="P25" s="8"/>
      <c r="Q25" s="10"/>
      <c r="R25" s="10"/>
      <c r="S25" s="9"/>
      <c r="T25" s="9"/>
      <c r="U25" s="9"/>
      <c r="V25" s="9"/>
      <c r="W25" s="9"/>
      <c r="X25" s="9"/>
      <c r="Y25" s="9"/>
      <c r="Z25" s="9"/>
    </row>
    <row r="26" spans="1:26" ht="15.75" customHeight="1" x14ac:dyDescent="0.2">
      <c r="A26" s="177"/>
      <c r="B26" s="166" t="s">
        <v>112</v>
      </c>
      <c r="C26" s="127"/>
      <c r="D26" s="5">
        <f t="shared" ref="D26:O26" si="13">D15-D24</f>
        <v>-236830</v>
      </c>
      <c r="E26" s="5">
        <f t="shared" si="13"/>
        <v>207130</v>
      </c>
      <c r="F26" s="5">
        <f t="shared" si="13"/>
        <v>274230</v>
      </c>
      <c r="G26" s="5">
        <f t="shared" si="13"/>
        <v>200200</v>
      </c>
      <c r="H26" s="5">
        <f t="shared" si="13"/>
        <v>90200</v>
      </c>
      <c r="I26" s="5">
        <f t="shared" si="13"/>
        <v>57200</v>
      </c>
      <c r="J26" s="5">
        <f t="shared" si="13"/>
        <v>24200</v>
      </c>
      <c r="K26" s="5">
        <f t="shared" si="13"/>
        <v>13200</v>
      </c>
      <c r="L26" s="5">
        <f t="shared" si="13"/>
        <v>2200</v>
      </c>
      <c r="M26" s="5">
        <f t="shared" si="13"/>
        <v>-8800</v>
      </c>
      <c r="N26" s="5">
        <f t="shared" si="13"/>
        <v>-13640</v>
      </c>
      <c r="O26" s="5">
        <f t="shared" si="13"/>
        <v>-2970</v>
      </c>
      <c r="P26" s="8"/>
      <c r="Q26" s="10"/>
      <c r="R26" s="10"/>
      <c r="S26" s="9"/>
      <c r="T26" s="9"/>
      <c r="U26" s="9"/>
      <c r="V26" s="9"/>
      <c r="W26" s="9"/>
      <c r="X26" s="9"/>
      <c r="Y26" s="9"/>
      <c r="Z26" s="9"/>
    </row>
    <row r="27" spans="1:26" ht="15.75" customHeight="1" x14ac:dyDescent="0.2">
      <c r="A27" s="177"/>
      <c r="B27" s="187"/>
      <c r="C27" s="187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8"/>
      <c r="Q27" s="10"/>
      <c r="R27" s="10"/>
      <c r="S27" s="9"/>
      <c r="T27" s="9"/>
      <c r="U27" s="9"/>
      <c r="V27" s="9"/>
      <c r="W27" s="9"/>
      <c r="X27" s="9"/>
      <c r="Y27" s="9"/>
      <c r="Z27" s="9"/>
    </row>
    <row r="28" spans="1:26" ht="15.75" customHeight="1" x14ac:dyDescent="0.2">
      <c r="A28" s="177"/>
      <c r="B28" s="248" t="s">
        <v>223</v>
      </c>
      <c r="C28" s="178"/>
      <c r="D28" s="169" t="s">
        <v>17</v>
      </c>
      <c r="E28" s="169" t="s">
        <v>18</v>
      </c>
      <c r="F28" s="169" t="s">
        <v>19</v>
      </c>
      <c r="G28" s="169" t="s">
        <v>20</v>
      </c>
      <c r="H28" s="169" t="s">
        <v>21</v>
      </c>
      <c r="I28" s="169" t="s">
        <v>22</v>
      </c>
      <c r="J28" s="169" t="s">
        <v>23</v>
      </c>
      <c r="K28" s="169" t="s">
        <v>24</v>
      </c>
      <c r="L28" s="169" t="s">
        <v>25</v>
      </c>
      <c r="M28" s="169" t="s">
        <v>14</v>
      </c>
      <c r="N28" s="169" t="s">
        <v>15</v>
      </c>
      <c r="O28" s="169" t="s">
        <v>16</v>
      </c>
      <c r="P28" s="8"/>
      <c r="Q28" s="10"/>
      <c r="R28" s="10"/>
      <c r="S28" s="9"/>
      <c r="T28" s="9"/>
      <c r="U28" s="9"/>
      <c r="V28" s="9"/>
      <c r="W28" s="9"/>
      <c r="X28" s="9"/>
      <c r="Y28" s="9"/>
      <c r="Z28" s="9"/>
    </row>
    <row r="29" spans="1:26" ht="15.75" customHeight="1" x14ac:dyDescent="0.2">
      <c r="A29" s="177"/>
      <c r="B29" s="24" t="s">
        <v>109</v>
      </c>
      <c r="C29" s="249">
        <f>'Расчетный лист'!C77</f>
        <v>0</v>
      </c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8"/>
      <c r="Q29" s="10"/>
      <c r="R29" s="10"/>
      <c r="S29" s="9"/>
      <c r="T29" s="9"/>
      <c r="U29" s="9"/>
      <c r="V29" s="9"/>
      <c r="W29" s="9"/>
      <c r="X29" s="9"/>
      <c r="Y29" s="9"/>
      <c r="Z29" s="9"/>
    </row>
    <row r="30" spans="1:26" ht="15.75" customHeight="1" x14ac:dyDescent="0.2">
      <c r="A30" s="177"/>
      <c r="B30" s="186" t="s">
        <v>212</v>
      </c>
      <c r="C30" s="125">
        <v>60</v>
      </c>
      <c r="D30" s="185">
        <f>D31*$C30</f>
        <v>515580</v>
      </c>
      <c r="E30" s="185">
        <f t="shared" ref="E30:O30" si="14">D39</f>
        <v>381300</v>
      </c>
      <c r="F30" s="185">
        <f t="shared" si="14"/>
        <v>319380</v>
      </c>
      <c r="G30" s="185">
        <f t="shared" si="14"/>
        <v>259380</v>
      </c>
      <c r="H30" s="185">
        <f t="shared" si="14"/>
        <v>231600</v>
      </c>
      <c r="I30" s="185">
        <f t="shared" si="14"/>
        <v>203820</v>
      </c>
      <c r="J30" s="185">
        <f t="shared" si="14"/>
        <v>176040</v>
      </c>
      <c r="K30" s="185">
        <f t="shared" si="14"/>
        <v>148260</v>
      </c>
      <c r="L30" s="185">
        <f t="shared" si="14"/>
        <v>120480</v>
      </c>
      <c r="M30" s="185">
        <f t="shared" si="14"/>
        <v>92700</v>
      </c>
      <c r="N30" s="185">
        <f t="shared" si="14"/>
        <v>64920</v>
      </c>
      <c r="O30" s="185">
        <f t="shared" si="14"/>
        <v>97140</v>
      </c>
      <c r="P30" s="8"/>
      <c r="Q30" s="494"/>
      <c r="R30" s="477"/>
      <c r="S30" s="9"/>
      <c r="T30" s="9"/>
      <c r="U30" s="9"/>
      <c r="V30" s="9"/>
      <c r="W30" s="9"/>
      <c r="X30" s="9"/>
      <c r="Y30" s="9"/>
      <c r="Z30" s="9"/>
    </row>
    <row r="31" spans="1:26" ht="15.75" customHeight="1" x14ac:dyDescent="0.2">
      <c r="A31" s="177"/>
      <c r="B31" s="139" t="s">
        <v>213</v>
      </c>
      <c r="C31" s="125">
        <v>8593</v>
      </c>
      <c r="D31" s="5">
        <f>C31</f>
        <v>8593</v>
      </c>
      <c r="E31" s="5">
        <f t="shared" ref="E31:O31" si="15">D40</f>
        <v>6355</v>
      </c>
      <c r="F31" s="250">
        <f t="shared" si="15"/>
        <v>5323</v>
      </c>
      <c r="G31" s="5">
        <f t="shared" si="15"/>
        <v>4323</v>
      </c>
      <c r="H31" s="5">
        <f t="shared" si="15"/>
        <v>3860</v>
      </c>
      <c r="I31" s="5">
        <f t="shared" si="15"/>
        <v>3397</v>
      </c>
      <c r="J31" s="5">
        <f t="shared" si="15"/>
        <v>2934</v>
      </c>
      <c r="K31" s="5">
        <f t="shared" si="15"/>
        <v>2471</v>
      </c>
      <c r="L31" s="5">
        <f t="shared" si="15"/>
        <v>2008</v>
      </c>
      <c r="M31" s="5">
        <f t="shared" si="15"/>
        <v>1545</v>
      </c>
      <c r="N31" s="5">
        <f t="shared" si="15"/>
        <v>1082</v>
      </c>
      <c r="O31" s="5">
        <f t="shared" si="15"/>
        <v>1619</v>
      </c>
      <c r="P31" s="8"/>
      <c r="Q31" s="477"/>
      <c r="R31" s="477"/>
      <c r="S31" s="9"/>
      <c r="T31" s="9"/>
      <c r="U31" s="9"/>
      <c r="V31" s="9"/>
      <c r="W31" s="9"/>
      <c r="X31" s="9"/>
      <c r="Y31" s="9"/>
      <c r="Z31" s="9"/>
    </row>
    <row r="32" spans="1:26" ht="15.75" customHeight="1" x14ac:dyDescent="0.2">
      <c r="A32" s="177"/>
      <c r="B32" s="485" t="s">
        <v>214</v>
      </c>
      <c r="C32" s="477"/>
      <c r="D32" s="5">
        <v>2238</v>
      </c>
      <c r="E32" s="5">
        <v>1032</v>
      </c>
      <c r="F32" s="5">
        <v>2000</v>
      </c>
      <c r="G32" s="5">
        <v>2963</v>
      </c>
      <c r="H32" s="5">
        <v>2963</v>
      </c>
      <c r="I32" s="5">
        <v>2963</v>
      </c>
      <c r="J32" s="5">
        <v>2963</v>
      </c>
      <c r="K32" s="5">
        <v>2963</v>
      </c>
      <c r="L32" s="5">
        <v>2963</v>
      </c>
      <c r="M32" s="5">
        <v>2963</v>
      </c>
      <c r="N32" s="5">
        <v>2963</v>
      </c>
      <c r="O32" s="5">
        <v>2963</v>
      </c>
      <c r="P32" s="8"/>
      <c r="Q32" s="477"/>
      <c r="R32" s="477"/>
      <c r="S32" s="9"/>
      <c r="T32" s="9"/>
      <c r="U32" s="9"/>
      <c r="V32" s="9"/>
      <c r="W32" s="9"/>
      <c r="X32" s="9"/>
      <c r="Y32" s="9"/>
      <c r="Z32" s="9"/>
    </row>
    <row r="33" spans="1:26" ht="15.75" customHeight="1" x14ac:dyDescent="0.2">
      <c r="A33" s="177"/>
      <c r="B33" s="46" t="s">
        <v>215</v>
      </c>
      <c r="C33" s="125">
        <v>60</v>
      </c>
      <c r="D33" s="5">
        <f t="shared" ref="D33:O33" si="16">D32*$C33</f>
        <v>134280</v>
      </c>
      <c r="E33" s="5">
        <f t="shared" si="16"/>
        <v>61920</v>
      </c>
      <c r="F33" s="5">
        <f t="shared" si="16"/>
        <v>120000</v>
      </c>
      <c r="G33" s="5">
        <f t="shared" si="16"/>
        <v>177780</v>
      </c>
      <c r="H33" s="5">
        <f t="shared" si="16"/>
        <v>177780</v>
      </c>
      <c r="I33" s="5">
        <f t="shared" si="16"/>
        <v>177780</v>
      </c>
      <c r="J33" s="5">
        <f t="shared" si="16"/>
        <v>177780</v>
      </c>
      <c r="K33" s="5">
        <f t="shared" si="16"/>
        <v>177780</v>
      </c>
      <c r="L33" s="5">
        <f t="shared" si="16"/>
        <v>177780</v>
      </c>
      <c r="M33" s="5">
        <f t="shared" si="16"/>
        <v>177780</v>
      </c>
      <c r="N33" s="5">
        <f t="shared" si="16"/>
        <v>177780</v>
      </c>
      <c r="O33" s="5">
        <f t="shared" si="16"/>
        <v>177780</v>
      </c>
      <c r="P33" s="8"/>
      <c r="Q33" s="477"/>
      <c r="R33" s="477"/>
      <c r="S33" s="9"/>
      <c r="T33" s="9"/>
      <c r="U33" s="9"/>
      <c r="V33" s="9"/>
      <c r="W33" s="9"/>
      <c r="X33" s="9"/>
      <c r="Y33" s="9"/>
      <c r="Z33" s="9"/>
    </row>
    <row r="34" spans="1:26" ht="15.75" customHeight="1" x14ac:dyDescent="0.2">
      <c r="A34" s="177"/>
      <c r="B34" s="252" t="s">
        <v>216</v>
      </c>
      <c r="C34" s="125">
        <v>60</v>
      </c>
      <c r="D34" s="185">
        <f t="shared" ref="D34:O34" si="17">D35*$C34</f>
        <v>381300</v>
      </c>
      <c r="E34" s="185">
        <f t="shared" si="17"/>
        <v>319380</v>
      </c>
      <c r="F34" s="185">
        <f t="shared" si="17"/>
        <v>199380</v>
      </c>
      <c r="G34" s="185">
        <f t="shared" si="17"/>
        <v>81600</v>
      </c>
      <c r="H34" s="185">
        <f t="shared" si="17"/>
        <v>53820</v>
      </c>
      <c r="I34" s="185">
        <f t="shared" si="17"/>
        <v>26040</v>
      </c>
      <c r="J34" s="185">
        <f t="shared" si="17"/>
        <v>-1740</v>
      </c>
      <c r="K34" s="185">
        <f t="shared" si="17"/>
        <v>-29520</v>
      </c>
      <c r="L34" s="185">
        <f t="shared" si="17"/>
        <v>-57300</v>
      </c>
      <c r="M34" s="185">
        <f t="shared" si="17"/>
        <v>-85080</v>
      </c>
      <c r="N34" s="185">
        <f t="shared" si="17"/>
        <v>-112860</v>
      </c>
      <c r="O34" s="185">
        <f t="shared" si="17"/>
        <v>-80640</v>
      </c>
      <c r="P34" s="8"/>
      <c r="Q34" s="477"/>
      <c r="R34" s="477"/>
      <c r="S34" s="9"/>
      <c r="T34" s="9"/>
      <c r="U34" s="9"/>
      <c r="V34" s="9"/>
      <c r="W34" s="9"/>
      <c r="X34" s="9"/>
      <c r="Y34" s="9"/>
      <c r="Z34" s="9"/>
    </row>
    <row r="35" spans="1:26" ht="15.75" customHeight="1" x14ac:dyDescent="0.2">
      <c r="A35" s="177"/>
      <c r="B35" s="139" t="s">
        <v>217</v>
      </c>
      <c r="C35" s="127"/>
      <c r="D35" s="5">
        <f t="shared" ref="D35:O35" si="18">D31-D32</f>
        <v>6355</v>
      </c>
      <c r="E35" s="5">
        <f t="shared" si="18"/>
        <v>5323</v>
      </c>
      <c r="F35" s="5">
        <f t="shared" si="18"/>
        <v>3323</v>
      </c>
      <c r="G35" s="5">
        <f t="shared" si="18"/>
        <v>1360</v>
      </c>
      <c r="H35" s="5">
        <f t="shared" si="18"/>
        <v>897</v>
      </c>
      <c r="I35" s="5">
        <f t="shared" si="18"/>
        <v>434</v>
      </c>
      <c r="J35" s="5">
        <f t="shared" si="18"/>
        <v>-29</v>
      </c>
      <c r="K35" s="5">
        <f t="shared" si="18"/>
        <v>-492</v>
      </c>
      <c r="L35" s="5">
        <f t="shared" si="18"/>
        <v>-955</v>
      </c>
      <c r="M35" s="5">
        <f t="shared" si="18"/>
        <v>-1418</v>
      </c>
      <c r="N35" s="5">
        <f t="shared" si="18"/>
        <v>-1881</v>
      </c>
      <c r="O35" s="5">
        <f t="shared" si="18"/>
        <v>-1344</v>
      </c>
      <c r="P35" s="8"/>
      <c r="Q35" s="477"/>
      <c r="R35" s="477"/>
      <c r="S35" s="9"/>
      <c r="T35" s="9"/>
      <c r="U35" s="9"/>
      <c r="V35" s="9"/>
      <c r="W35" s="9"/>
      <c r="X35" s="9"/>
      <c r="Y35" s="9"/>
      <c r="Z35" s="9"/>
    </row>
    <row r="36" spans="1:26" ht="15.75" customHeight="1" x14ac:dyDescent="0.2">
      <c r="A36" s="177"/>
      <c r="B36" s="252" t="s">
        <v>218</v>
      </c>
      <c r="C36" s="127"/>
      <c r="D36" s="183">
        <v>0</v>
      </c>
      <c r="E36" s="183">
        <v>0</v>
      </c>
      <c r="F36" s="256">
        <f t="shared" ref="F36:O36" si="19">F37*F38</f>
        <v>60000</v>
      </c>
      <c r="G36" s="256">
        <f t="shared" si="19"/>
        <v>150000</v>
      </c>
      <c r="H36" s="256">
        <f t="shared" si="19"/>
        <v>150000</v>
      </c>
      <c r="I36" s="256">
        <f t="shared" si="19"/>
        <v>150000</v>
      </c>
      <c r="J36" s="256">
        <f t="shared" si="19"/>
        <v>150000</v>
      </c>
      <c r="K36" s="256">
        <f t="shared" si="19"/>
        <v>150000</v>
      </c>
      <c r="L36" s="256">
        <f t="shared" si="19"/>
        <v>150000</v>
      </c>
      <c r="M36" s="256">
        <f t="shared" si="19"/>
        <v>150000</v>
      </c>
      <c r="N36" s="256">
        <f t="shared" si="19"/>
        <v>210000</v>
      </c>
      <c r="O36" s="256">
        <f t="shared" si="19"/>
        <v>210000</v>
      </c>
      <c r="P36" s="8"/>
      <c r="Q36" s="477"/>
      <c r="R36" s="477"/>
      <c r="S36" s="9"/>
      <c r="T36" s="9"/>
      <c r="U36" s="9"/>
      <c r="V36" s="9"/>
      <c r="W36" s="9"/>
      <c r="X36" s="9"/>
      <c r="Y36" s="9"/>
      <c r="Z36" s="9"/>
    </row>
    <row r="37" spans="1:26" ht="15.75" customHeight="1" x14ac:dyDescent="0.2">
      <c r="A37" s="177"/>
      <c r="B37" s="166" t="s">
        <v>219</v>
      </c>
      <c r="C37" s="127"/>
      <c r="D37" s="5"/>
      <c r="E37" s="5"/>
      <c r="F37" s="254">
        <v>1000</v>
      </c>
      <c r="G37" s="254">
        <v>2500</v>
      </c>
      <c r="H37" s="254">
        <v>2500</v>
      </c>
      <c r="I37" s="254">
        <v>2500</v>
      </c>
      <c r="J37" s="254">
        <v>2500</v>
      </c>
      <c r="K37" s="254">
        <v>2500</v>
      </c>
      <c r="L37" s="254">
        <v>2500</v>
      </c>
      <c r="M37" s="254">
        <v>2500</v>
      </c>
      <c r="N37" s="254">
        <v>3500</v>
      </c>
      <c r="O37" s="254">
        <v>3500</v>
      </c>
      <c r="P37" s="8"/>
      <c r="Q37" s="477"/>
      <c r="R37" s="477"/>
      <c r="S37" s="9"/>
      <c r="T37" s="9"/>
      <c r="U37" s="9"/>
      <c r="V37" s="9"/>
      <c r="W37" s="9"/>
      <c r="X37" s="9"/>
      <c r="Y37" s="9"/>
      <c r="Z37" s="9"/>
    </row>
    <row r="38" spans="1:26" ht="15.75" customHeight="1" x14ac:dyDescent="0.2">
      <c r="A38" s="177"/>
      <c r="B38" s="166" t="s">
        <v>220</v>
      </c>
      <c r="C38" s="127"/>
      <c r="D38" s="5"/>
      <c r="E38" s="5"/>
      <c r="F38" s="251">
        <f t="shared" ref="F38:O38" si="20">$C34</f>
        <v>60</v>
      </c>
      <c r="G38" s="251">
        <f t="shared" si="20"/>
        <v>60</v>
      </c>
      <c r="H38" s="251">
        <f t="shared" si="20"/>
        <v>60</v>
      </c>
      <c r="I38" s="251">
        <f t="shared" si="20"/>
        <v>60</v>
      </c>
      <c r="J38" s="251">
        <f t="shared" si="20"/>
        <v>60</v>
      </c>
      <c r="K38" s="251">
        <f t="shared" si="20"/>
        <v>60</v>
      </c>
      <c r="L38" s="251">
        <f t="shared" si="20"/>
        <v>60</v>
      </c>
      <c r="M38" s="251">
        <f t="shared" si="20"/>
        <v>60</v>
      </c>
      <c r="N38" s="251">
        <f t="shared" si="20"/>
        <v>60</v>
      </c>
      <c r="O38" s="251">
        <f t="shared" si="20"/>
        <v>60</v>
      </c>
      <c r="P38" s="8"/>
      <c r="Q38" s="10"/>
      <c r="R38" s="10"/>
      <c r="S38" s="9"/>
      <c r="T38" s="9"/>
      <c r="U38" s="9"/>
      <c r="V38" s="9"/>
      <c r="W38" s="9"/>
      <c r="X38" s="9"/>
      <c r="Y38" s="9"/>
      <c r="Z38" s="9"/>
    </row>
    <row r="39" spans="1:26" ht="15.75" customHeight="1" x14ac:dyDescent="0.2">
      <c r="A39" s="177"/>
      <c r="B39" s="252" t="s">
        <v>221</v>
      </c>
      <c r="C39" s="125">
        <v>60</v>
      </c>
      <c r="D39" s="185">
        <f t="shared" ref="D39:O39" si="21">D40*$C39</f>
        <v>381300</v>
      </c>
      <c r="E39" s="185">
        <f t="shared" si="21"/>
        <v>319380</v>
      </c>
      <c r="F39" s="185">
        <f t="shared" si="21"/>
        <v>259380</v>
      </c>
      <c r="G39" s="185">
        <f t="shared" si="21"/>
        <v>231600</v>
      </c>
      <c r="H39" s="185">
        <f t="shared" si="21"/>
        <v>203820</v>
      </c>
      <c r="I39" s="185">
        <f t="shared" si="21"/>
        <v>176040</v>
      </c>
      <c r="J39" s="185">
        <f t="shared" si="21"/>
        <v>148260</v>
      </c>
      <c r="K39" s="185">
        <f t="shared" si="21"/>
        <v>120480</v>
      </c>
      <c r="L39" s="185">
        <f t="shared" si="21"/>
        <v>92700</v>
      </c>
      <c r="M39" s="185">
        <f t="shared" si="21"/>
        <v>64920</v>
      </c>
      <c r="N39" s="185">
        <f t="shared" si="21"/>
        <v>97140</v>
      </c>
      <c r="O39" s="185">
        <f t="shared" si="21"/>
        <v>129360</v>
      </c>
      <c r="P39" s="8"/>
      <c r="Q39" s="10"/>
      <c r="R39" s="10"/>
      <c r="S39" s="9"/>
      <c r="T39" s="9"/>
      <c r="U39" s="9"/>
      <c r="V39" s="9"/>
      <c r="W39" s="9"/>
      <c r="X39" s="9"/>
      <c r="Y39" s="9"/>
      <c r="Z39" s="9"/>
    </row>
    <row r="40" spans="1:26" ht="15.75" customHeight="1" x14ac:dyDescent="0.2">
      <c r="A40" s="177"/>
      <c r="B40" s="255" t="s">
        <v>222</v>
      </c>
      <c r="C40" s="127"/>
      <c r="D40" s="6">
        <f t="shared" ref="D40:O40" si="22">D35+D37</f>
        <v>6355</v>
      </c>
      <c r="E40" s="6">
        <f t="shared" si="22"/>
        <v>5323</v>
      </c>
      <c r="F40" s="6">
        <f t="shared" si="22"/>
        <v>4323</v>
      </c>
      <c r="G40" s="6">
        <f t="shared" si="22"/>
        <v>3860</v>
      </c>
      <c r="H40" s="6">
        <f t="shared" si="22"/>
        <v>3397</v>
      </c>
      <c r="I40" s="6">
        <f t="shared" si="22"/>
        <v>2934</v>
      </c>
      <c r="J40" s="6">
        <f t="shared" si="22"/>
        <v>2471</v>
      </c>
      <c r="K40" s="6">
        <f t="shared" si="22"/>
        <v>2008</v>
      </c>
      <c r="L40" s="6">
        <f t="shared" si="22"/>
        <v>1545</v>
      </c>
      <c r="M40" s="6">
        <f t="shared" si="22"/>
        <v>1082</v>
      </c>
      <c r="N40" s="6">
        <f t="shared" si="22"/>
        <v>1619</v>
      </c>
      <c r="O40" s="6">
        <f t="shared" si="22"/>
        <v>2156</v>
      </c>
      <c r="P40" s="8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ht="15.75" customHeight="1" x14ac:dyDescent="0.2">
      <c r="A41" s="177"/>
      <c r="B41" s="166" t="s">
        <v>112</v>
      </c>
      <c r="C41" s="127"/>
      <c r="D41" s="5">
        <f t="shared" ref="D41:O41" si="23">D30-D39</f>
        <v>134280</v>
      </c>
      <c r="E41" s="5">
        <f t="shared" si="23"/>
        <v>61920</v>
      </c>
      <c r="F41" s="5">
        <f t="shared" si="23"/>
        <v>60000</v>
      </c>
      <c r="G41" s="5">
        <f t="shared" si="23"/>
        <v>27780</v>
      </c>
      <c r="H41" s="5">
        <f t="shared" si="23"/>
        <v>27780</v>
      </c>
      <c r="I41" s="5">
        <f t="shared" si="23"/>
        <v>27780</v>
      </c>
      <c r="J41" s="5">
        <f t="shared" si="23"/>
        <v>27780</v>
      </c>
      <c r="K41" s="5">
        <f t="shared" si="23"/>
        <v>27780</v>
      </c>
      <c r="L41" s="5">
        <f t="shared" si="23"/>
        <v>27780</v>
      </c>
      <c r="M41" s="5">
        <f t="shared" si="23"/>
        <v>27780</v>
      </c>
      <c r="N41" s="5">
        <f t="shared" si="23"/>
        <v>-32220</v>
      </c>
      <c r="O41" s="5">
        <f t="shared" si="23"/>
        <v>-32220</v>
      </c>
      <c r="P41" s="8"/>
      <c r="Q41" s="207"/>
      <c r="R41" s="207"/>
      <c r="S41" s="9"/>
      <c r="T41" s="9"/>
      <c r="U41" s="9"/>
      <c r="V41" s="9"/>
      <c r="W41" s="9"/>
      <c r="X41" s="9"/>
      <c r="Y41" s="9"/>
      <c r="Z41" s="9"/>
    </row>
    <row r="42" spans="1:26" ht="15.75" customHeight="1" x14ac:dyDescent="0.2">
      <c r="A42" s="177"/>
      <c r="B42" s="187"/>
      <c r="C42" s="187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257"/>
      <c r="Q42" s="207"/>
      <c r="R42" s="207"/>
      <c r="S42" s="207">
        <f t="shared" ref="S42:S43" si="24">Q42+R42</f>
        <v>0</v>
      </c>
      <c r="T42" s="9"/>
      <c r="U42" s="9"/>
      <c r="V42" s="9"/>
      <c r="W42" s="9"/>
      <c r="X42" s="9"/>
      <c r="Y42" s="9"/>
      <c r="Z42" s="9"/>
    </row>
    <row r="43" spans="1:26" ht="15.75" customHeight="1" x14ac:dyDescent="0.2">
      <c r="A43" s="177"/>
      <c r="B43" s="489" t="s">
        <v>224</v>
      </c>
      <c r="C43" s="477"/>
      <c r="D43" s="169" t="s">
        <v>17</v>
      </c>
      <c r="E43" s="169" t="s">
        <v>18</v>
      </c>
      <c r="F43" s="169" t="s">
        <v>19</v>
      </c>
      <c r="G43" s="169" t="s">
        <v>20</v>
      </c>
      <c r="H43" s="169" t="s">
        <v>21</v>
      </c>
      <c r="I43" s="169" t="s">
        <v>22</v>
      </c>
      <c r="J43" s="169" t="s">
        <v>23</v>
      </c>
      <c r="K43" s="169" t="s">
        <v>24</v>
      </c>
      <c r="L43" s="169" t="s">
        <v>25</v>
      </c>
      <c r="M43" s="169" t="s">
        <v>14</v>
      </c>
      <c r="N43" s="169" t="s">
        <v>15</v>
      </c>
      <c r="O43" s="169" t="s">
        <v>16</v>
      </c>
      <c r="P43" s="257"/>
      <c r="Q43" s="207"/>
      <c r="R43" s="207"/>
      <c r="S43" s="207">
        <f t="shared" si="24"/>
        <v>0</v>
      </c>
      <c r="T43" s="9"/>
      <c r="U43" s="9"/>
      <c r="V43" s="9"/>
      <c r="W43" s="9"/>
      <c r="X43" s="9"/>
      <c r="Y43" s="9"/>
      <c r="Z43" s="9"/>
    </row>
    <row r="44" spans="1:26" ht="15.75" customHeight="1" x14ac:dyDescent="0.2">
      <c r="A44" s="18"/>
      <c r="B44" s="24" t="s">
        <v>109</v>
      </c>
      <c r="C44" s="249">
        <f>'Расчетный лист'!C78</f>
        <v>0</v>
      </c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23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ht="15.75" customHeight="1" x14ac:dyDescent="0.2">
      <c r="A45" s="18"/>
      <c r="B45" s="186" t="s">
        <v>212</v>
      </c>
      <c r="C45" s="125">
        <v>140</v>
      </c>
      <c r="D45" s="154">
        <f t="shared" ref="D45:O45" si="25">D46*$C45</f>
        <v>412020</v>
      </c>
      <c r="E45" s="154">
        <f t="shared" si="25"/>
        <v>412020</v>
      </c>
      <c r="F45" s="154">
        <f t="shared" si="25"/>
        <v>412020</v>
      </c>
      <c r="G45" s="154">
        <f t="shared" si="25"/>
        <v>403200</v>
      </c>
      <c r="H45" s="154">
        <f t="shared" si="25"/>
        <v>345240</v>
      </c>
      <c r="I45" s="154">
        <f t="shared" si="25"/>
        <v>287280</v>
      </c>
      <c r="J45" s="154">
        <f t="shared" si="25"/>
        <v>299320</v>
      </c>
      <c r="K45" s="154">
        <f t="shared" si="25"/>
        <v>311360</v>
      </c>
      <c r="L45" s="154">
        <f t="shared" si="25"/>
        <v>323400</v>
      </c>
      <c r="M45" s="154">
        <f t="shared" si="25"/>
        <v>335440</v>
      </c>
      <c r="N45" s="154">
        <f t="shared" si="25"/>
        <v>347480</v>
      </c>
      <c r="O45" s="154">
        <f t="shared" si="25"/>
        <v>415520</v>
      </c>
      <c r="P45" s="23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ht="15.75" customHeight="1" x14ac:dyDescent="0.2">
      <c r="A46" s="18"/>
      <c r="B46" s="139" t="s">
        <v>213</v>
      </c>
      <c r="C46" s="125">
        <v>2943</v>
      </c>
      <c r="D46" s="51">
        <f>C46</f>
        <v>2943</v>
      </c>
      <c r="E46" s="51">
        <f t="shared" ref="E46:O46" si="26">D55</f>
        <v>2943</v>
      </c>
      <c r="F46" s="51">
        <f t="shared" si="26"/>
        <v>2943</v>
      </c>
      <c r="G46" s="51">
        <f t="shared" si="26"/>
        <v>2880</v>
      </c>
      <c r="H46" s="51">
        <f t="shared" si="26"/>
        <v>2466</v>
      </c>
      <c r="I46" s="258">
        <f t="shared" si="26"/>
        <v>2052</v>
      </c>
      <c r="J46" s="51">
        <f t="shared" si="26"/>
        <v>2138</v>
      </c>
      <c r="K46" s="51">
        <f t="shared" si="26"/>
        <v>2224</v>
      </c>
      <c r="L46" s="51">
        <f t="shared" si="26"/>
        <v>2310</v>
      </c>
      <c r="M46" s="51">
        <f t="shared" si="26"/>
        <v>2396</v>
      </c>
      <c r="N46" s="51">
        <f t="shared" si="26"/>
        <v>2482</v>
      </c>
      <c r="O46" s="51">
        <f t="shared" si="26"/>
        <v>2968</v>
      </c>
      <c r="P46" s="23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ht="15.75" customHeight="1" x14ac:dyDescent="0.2">
      <c r="A47" s="18"/>
      <c r="B47" s="485" t="s">
        <v>214</v>
      </c>
      <c r="C47" s="477"/>
      <c r="D47" s="51">
        <v>0</v>
      </c>
      <c r="E47" s="51">
        <v>0</v>
      </c>
      <c r="F47" s="60">
        <v>63</v>
      </c>
      <c r="G47" s="51">
        <v>414</v>
      </c>
      <c r="H47" s="51">
        <v>414</v>
      </c>
      <c r="I47" s="51">
        <v>414</v>
      </c>
      <c r="J47" s="51">
        <v>414</v>
      </c>
      <c r="K47" s="51">
        <v>414</v>
      </c>
      <c r="L47" s="51">
        <v>414</v>
      </c>
      <c r="M47" s="51">
        <v>414</v>
      </c>
      <c r="N47" s="51">
        <v>414</v>
      </c>
      <c r="O47" s="51">
        <v>414</v>
      </c>
      <c r="P47" s="23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ht="15.75" customHeight="1" x14ac:dyDescent="0.2">
      <c r="A48" s="177"/>
      <c r="B48" s="46" t="s">
        <v>215</v>
      </c>
      <c r="C48" s="125">
        <v>140</v>
      </c>
      <c r="D48" s="5">
        <f t="shared" ref="D48:O48" si="27">D47*$C48</f>
        <v>0</v>
      </c>
      <c r="E48" s="5">
        <f t="shared" si="27"/>
        <v>0</v>
      </c>
      <c r="F48" s="5">
        <f t="shared" si="27"/>
        <v>8820</v>
      </c>
      <c r="G48" s="5">
        <f t="shared" si="27"/>
        <v>57960</v>
      </c>
      <c r="H48" s="5">
        <f t="shared" si="27"/>
        <v>57960</v>
      </c>
      <c r="I48" s="5">
        <f t="shared" si="27"/>
        <v>57960</v>
      </c>
      <c r="J48" s="5">
        <f t="shared" si="27"/>
        <v>57960</v>
      </c>
      <c r="K48" s="5">
        <f t="shared" si="27"/>
        <v>57960</v>
      </c>
      <c r="L48" s="5">
        <f t="shared" si="27"/>
        <v>57960</v>
      </c>
      <c r="M48" s="5">
        <f t="shared" si="27"/>
        <v>57960</v>
      </c>
      <c r="N48" s="5">
        <f t="shared" si="27"/>
        <v>57960</v>
      </c>
      <c r="O48" s="5">
        <f t="shared" si="27"/>
        <v>57960</v>
      </c>
      <c r="P48" s="259"/>
      <c r="Q48" s="204"/>
      <c r="R48" s="204"/>
      <c r="S48" s="204"/>
      <c r="T48" s="204"/>
      <c r="U48" s="204"/>
      <c r="V48" s="204"/>
      <c r="W48" s="204"/>
      <c r="X48" s="204"/>
      <c r="Y48" s="204"/>
      <c r="Z48" s="204"/>
    </row>
    <row r="49" spans="1:26" ht="15.75" customHeight="1" x14ac:dyDescent="0.2">
      <c r="A49" s="18"/>
      <c r="B49" s="252" t="s">
        <v>216</v>
      </c>
      <c r="C49" s="125">
        <v>140</v>
      </c>
      <c r="D49" s="185">
        <f t="shared" ref="D49:O49" si="28">D50*$C49</f>
        <v>412020</v>
      </c>
      <c r="E49" s="185">
        <f t="shared" si="28"/>
        <v>412020</v>
      </c>
      <c r="F49" s="185">
        <f t="shared" si="28"/>
        <v>403200</v>
      </c>
      <c r="G49" s="185">
        <f t="shared" si="28"/>
        <v>345240</v>
      </c>
      <c r="H49" s="185">
        <f t="shared" si="28"/>
        <v>287280</v>
      </c>
      <c r="I49" s="185">
        <f t="shared" si="28"/>
        <v>229320</v>
      </c>
      <c r="J49" s="185">
        <f t="shared" si="28"/>
        <v>241360</v>
      </c>
      <c r="K49" s="185">
        <f t="shared" si="28"/>
        <v>253400</v>
      </c>
      <c r="L49" s="185">
        <f t="shared" si="28"/>
        <v>265440</v>
      </c>
      <c r="M49" s="185">
        <f t="shared" si="28"/>
        <v>277480</v>
      </c>
      <c r="N49" s="185">
        <f t="shared" si="28"/>
        <v>289520</v>
      </c>
      <c r="O49" s="185">
        <f t="shared" si="28"/>
        <v>357560</v>
      </c>
      <c r="P49" s="8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ht="15.75" customHeight="1" x14ac:dyDescent="0.2">
      <c r="A50" s="34"/>
      <c r="B50" s="139" t="s">
        <v>217</v>
      </c>
      <c r="C50" s="127"/>
      <c r="D50" s="5">
        <f t="shared" ref="D50:O50" si="29">D46-D47</f>
        <v>2943</v>
      </c>
      <c r="E50" s="5">
        <f t="shared" si="29"/>
        <v>2943</v>
      </c>
      <c r="F50" s="5">
        <f t="shared" si="29"/>
        <v>2880</v>
      </c>
      <c r="G50" s="5">
        <f t="shared" si="29"/>
        <v>2466</v>
      </c>
      <c r="H50" s="5">
        <f t="shared" si="29"/>
        <v>2052</v>
      </c>
      <c r="I50" s="5">
        <f t="shared" si="29"/>
        <v>1638</v>
      </c>
      <c r="J50" s="5">
        <f t="shared" si="29"/>
        <v>1724</v>
      </c>
      <c r="K50" s="5">
        <f t="shared" si="29"/>
        <v>1810</v>
      </c>
      <c r="L50" s="5">
        <f t="shared" si="29"/>
        <v>1896</v>
      </c>
      <c r="M50" s="5">
        <f t="shared" si="29"/>
        <v>1982</v>
      </c>
      <c r="N50" s="5">
        <f t="shared" si="29"/>
        <v>2068</v>
      </c>
      <c r="O50" s="5">
        <f t="shared" si="29"/>
        <v>2554</v>
      </c>
      <c r="P50" s="8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ht="15.75" customHeight="1" x14ac:dyDescent="0.2">
      <c r="A51" s="260"/>
      <c r="B51" s="252" t="s">
        <v>218</v>
      </c>
      <c r="C51" s="127"/>
      <c r="D51" s="183">
        <v>0</v>
      </c>
      <c r="E51" s="183">
        <v>0</v>
      </c>
      <c r="F51" s="185"/>
      <c r="G51" s="185"/>
      <c r="H51" s="185">
        <f t="shared" ref="H51:O51" si="30">H52*H53</f>
        <v>0</v>
      </c>
      <c r="I51" s="256">
        <f t="shared" si="30"/>
        <v>70000</v>
      </c>
      <c r="J51" s="256">
        <f t="shared" si="30"/>
        <v>70000</v>
      </c>
      <c r="K51" s="256">
        <f t="shared" si="30"/>
        <v>70000</v>
      </c>
      <c r="L51" s="256">
        <f t="shared" si="30"/>
        <v>70000</v>
      </c>
      <c r="M51" s="256">
        <f t="shared" si="30"/>
        <v>70000</v>
      </c>
      <c r="N51" s="256">
        <f t="shared" si="30"/>
        <v>126000</v>
      </c>
      <c r="O51" s="256">
        <f t="shared" si="30"/>
        <v>70000</v>
      </c>
      <c r="P51" s="259"/>
      <c r="Q51" s="204"/>
      <c r="R51" s="204"/>
      <c r="S51" s="204"/>
      <c r="T51" s="204"/>
      <c r="U51" s="204"/>
      <c r="V51" s="204"/>
      <c r="W51" s="204"/>
      <c r="X51" s="204"/>
      <c r="Y51" s="204"/>
      <c r="Z51" s="204"/>
    </row>
    <row r="52" spans="1:26" ht="15.75" customHeight="1" x14ac:dyDescent="0.2">
      <c r="A52" s="120"/>
      <c r="B52" s="166" t="s">
        <v>219</v>
      </c>
      <c r="C52" s="127"/>
      <c r="D52" s="6"/>
      <c r="E52" s="6"/>
      <c r="F52" s="5"/>
      <c r="G52" s="5"/>
      <c r="H52" s="6">
        <v>0</v>
      </c>
      <c r="I52" s="254">
        <v>500</v>
      </c>
      <c r="J52" s="254">
        <v>500</v>
      </c>
      <c r="K52" s="254">
        <v>500</v>
      </c>
      <c r="L52" s="254">
        <v>500</v>
      </c>
      <c r="M52" s="254">
        <v>500</v>
      </c>
      <c r="N52" s="254">
        <v>900</v>
      </c>
      <c r="O52" s="254">
        <v>500</v>
      </c>
      <c r="P52" s="8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ht="15.75" customHeight="1" x14ac:dyDescent="0.2">
      <c r="A53" s="120"/>
      <c r="B53" s="166" t="s">
        <v>220</v>
      </c>
      <c r="C53" s="127"/>
      <c r="D53" s="5"/>
      <c r="E53" s="5"/>
      <c r="F53" s="5"/>
      <c r="G53" s="5"/>
      <c r="H53" s="5">
        <f t="shared" ref="H53:O53" si="31">$C49</f>
        <v>140</v>
      </c>
      <c r="I53" s="251">
        <f t="shared" si="31"/>
        <v>140</v>
      </c>
      <c r="J53" s="251">
        <f t="shared" si="31"/>
        <v>140</v>
      </c>
      <c r="K53" s="251">
        <f t="shared" si="31"/>
        <v>140</v>
      </c>
      <c r="L53" s="251">
        <f t="shared" si="31"/>
        <v>140</v>
      </c>
      <c r="M53" s="251">
        <f t="shared" si="31"/>
        <v>140</v>
      </c>
      <c r="N53" s="251">
        <f t="shared" si="31"/>
        <v>140</v>
      </c>
      <c r="O53" s="251">
        <f t="shared" si="31"/>
        <v>140</v>
      </c>
      <c r="P53" s="8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ht="15.75" customHeight="1" x14ac:dyDescent="0.2">
      <c r="A54" s="120"/>
      <c r="B54" s="252" t="s">
        <v>221</v>
      </c>
      <c r="C54" s="125">
        <v>140</v>
      </c>
      <c r="D54" s="185">
        <f t="shared" ref="D54:O54" si="32">$C54*D55</f>
        <v>412020</v>
      </c>
      <c r="E54" s="185">
        <f t="shared" si="32"/>
        <v>412020</v>
      </c>
      <c r="F54" s="185">
        <f t="shared" si="32"/>
        <v>403200</v>
      </c>
      <c r="G54" s="185">
        <f t="shared" si="32"/>
        <v>345240</v>
      </c>
      <c r="H54" s="185">
        <f t="shared" si="32"/>
        <v>287280</v>
      </c>
      <c r="I54" s="185">
        <f t="shared" si="32"/>
        <v>299320</v>
      </c>
      <c r="J54" s="185">
        <f t="shared" si="32"/>
        <v>311360</v>
      </c>
      <c r="K54" s="185">
        <f t="shared" si="32"/>
        <v>323400</v>
      </c>
      <c r="L54" s="185">
        <f t="shared" si="32"/>
        <v>335440</v>
      </c>
      <c r="M54" s="185">
        <f t="shared" si="32"/>
        <v>347480</v>
      </c>
      <c r="N54" s="185">
        <f t="shared" si="32"/>
        <v>415520</v>
      </c>
      <c r="O54" s="185">
        <f t="shared" si="32"/>
        <v>427560</v>
      </c>
      <c r="P54" s="8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1:26" ht="15.75" customHeight="1" x14ac:dyDescent="0.2">
      <c r="A55" s="260"/>
      <c r="B55" s="255" t="s">
        <v>222</v>
      </c>
      <c r="C55" s="127"/>
      <c r="D55" s="5">
        <f t="shared" ref="D55:O55" si="33">D50+D52</f>
        <v>2943</v>
      </c>
      <c r="E55" s="5">
        <f t="shared" si="33"/>
        <v>2943</v>
      </c>
      <c r="F55" s="5">
        <f t="shared" si="33"/>
        <v>2880</v>
      </c>
      <c r="G55" s="5">
        <f t="shared" si="33"/>
        <v>2466</v>
      </c>
      <c r="H55" s="5">
        <f t="shared" si="33"/>
        <v>2052</v>
      </c>
      <c r="I55" s="5">
        <f t="shared" si="33"/>
        <v>2138</v>
      </c>
      <c r="J55" s="5">
        <f t="shared" si="33"/>
        <v>2224</v>
      </c>
      <c r="K55" s="5">
        <f t="shared" si="33"/>
        <v>2310</v>
      </c>
      <c r="L55" s="5">
        <f t="shared" si="33"/>
        <v>2396</v>
      </c>
      <c r="M55" s="5">
        <f t="shared" si="33"/>
        <v>2482</v>
      </c>
      <c r="N55" s="5">
        <f t="shared" si="33"/>
        <v>2968</v>
      </c>
      <c r="O55" s="5">
        <f t="shared" si="33"/>
        <v>3054</v>
      </c>
      <c r="P55" s="259"/>
      <c r="Q55" s="204"/>
      <c r="R55" s="204"/>
      <c r="S55" s="204"/>
      <c r="T55" s="204"/>
      <c r="U55" s="204"/>
      <c r="V55" s="204"/>
      <c r="W55" s="204"/>
      <c r="X55" s="204"/>
      <c r="Y55" s="204"/>
      <c r="Z55" s="204"/>
    </row>
    <row r="56" spans="1:26" ht="15.75" customHeight="1" x14ac:dyDescent="0.2">
      <c r="A56" s="120"/>
      <c r="B56" s="166" t="s">
        <v>112</v>
      </c>
      <c r="C56" s="127"/>
      <c r="D56" s="5">
        <f t="shared" ref="D56:O56" si="34">D45-D54</f>
        <v>0</v>
      </c>
      <c r="E56" s="5">
        <f t="shared" si="34"/>
        <v>0</v>
      </c>
      <c r="F56" s="5">
        <f t="shared" si="34"/>
        <v>8820</v>
      </c>
      <c r="G56" s="5">
        <f t="shared" si="34"/>
        <v>57960</v>
      </c>
      <c r="H56" s="5">
        <f t="shared" si="34"/>
        <v>57960</v>
      </c>
      <c r="I56" s="5">
        <f t="shared" si="34"/>
        <v>-12040</v>
      </c>
      <c r="J56" s="5">
        <f t="shared" si="34"/>
        <v>-12040</v>
      </c>
      <c r="K56" s="5">
        <f t="shared" si="34"/>
        <v>-12040</v>
      </c>
      <c r="L56" s="5">
        <f t="shared" si="34"/>
        <v>-12040</v>
      </c>
      <c r="M56" s="5">
        <f t="shared" si="34"/>
        <v>-12040</v>
      </c>
      <c r="N56" s="5">
        <f t="shared" si="34"/>
        <v>-68040</v>
      </c>
      <c r="O56" s="5">
        <f t="shared" si="34"/>
        <v>-12040</v>
      </c>
      <c r="P56" s="8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ht="15.75" customHeight="1" x14ac:dyDescent="0.2">
      <c r="A57" s="120"/>
      <c r="B57" s="166"/>
      <c r="C57" s="127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8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ht="15.75" customHeight="1" x14ac:dyDescent="0.2">
      <c r="A58" s="120"/>
      <c r="B58" s="489" t="s">
        <v>225</v>
      </c>
      <c r="C58" s="477"/>
      <c r="D58" s="169" t="s">
        <v>17</v>
      </c>
      <c r="E58" s="169" t="s">
        <v>18</v>
      </c>
      <c r="F58" s="169" t="s">
        <v>19</v>
      </c>
      <c r="G58" s="169" t="s">
        <v>20</v>
      </c>
      <c r="H58" s="169" t="s">
        <v>21</v>
      </c>
      <c r="I58" s="169" t="s">
        <v>22</v>
      </c>
      <c r="J58" s="169" t="s">
        <v>23</v>
      </c>
      <c r="K58" s="169" t="s">
        <v>24</v>
      </c>
      <c r="L58" s="169" t="s">
        <v>25</v>
      </c>
      <c r="M58" s="169" t="s">
        <v>14</v>
      </c>
      <c r="N58" s="169" t="s">
        <v>15</v>
      </c>
      <c r="O58" s="169" t="s">
        <v>16</v>
      </c>
      <c r="P58" s="8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ht="15.75" customHeight="1" x14ac:dyDescent="0.2">
      <c r="A59" s="120"/>
      <c r="B59" s="24" t="s">
        <v>109</v>
      </c>
      <c r="C59" s="249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8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ht="15.75" customHeight="1" x14ac:dyDescent="0.2">
      <c r="A60" s="120"/>
      <c r="B60" s="187" t="s">
        <v>110</v>
      </c>
      <c r="C60" s="187"/>
      <c r="D60" s="185"/>
      <c r="E60" s="185"/>
      <c r="F60" s="185"/>
      <c r="G60" s="185"/>
      <c r="H60" s="185"/>
      <c r="I60" s="185"/>
      <c r="J60" s="185"/>
      <c r="K60" s="185"/>
      <c r="L60" s="185"/>
      <c r="M60" s="185"/>
      <c r="N60" s="185"/>
      <c r="O60" s="185"/>
      <c r="P60" s="8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ht="15.75" customHeight="1" x14ac:dyDescent="0.2">
      <c r="A61" s="120"/>
      <c r="B61" s="139" t="s">
        <v>226</v>
      </c>
      <c r="C61" s="249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8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ht="15.75" customHeight="1" x14ac:dyDescent="0.2">
      <c r="A62" s="120"/>
      <c r="B62" s="485" t="s">
        <v>214</v>
      </c>
      <c r="C62" s="477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8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ht="15.75" customHeight="1" x14ac:dyDescent="0.2">
      <c r="A63" s="120"/>
      <c r="B63" s="252" t="s">
        <v>227</v>
      </c>
      <c r="C63" s="261"/>
      <c r="D63" s="185"/>
      <c r="E63" s="185"/>
      <c r="F63" s="185"/>
      <c r="G63" s="185"/>
      <c r="H63" s="185"/>
      <c r="I63" s="185"/>
      <c r="J63" s="185"/>
      <c r="K63" s="185"/>
      <c r="L63" s="185"/>
      <c r="M63" s="185"/>
      <c r="N63" s="185"/>
      <c r="O63" s="185"/>
      <c r="P63" s="8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6" ht="15.75" customHeight="1" x14ac:dyDescent="0.2">
      <c r="A64" s="120"/>
      <c r="B64" s="166" t="s">
        <v>228</v>
      </c>
      <c r="C64" s="127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8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ht="15.75" customHeight="1" x14ac:dyDescent="0.2">
      <c r="A65" s="120"/>
      <c r="B65" s="166" t="s">
        <v>229</v>
      </c>
      <c r="C65" s="127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8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ht="15.75" customHeight="1" x14ac:dyDescent="0.2">
      <c r="A66" s="120"/>
      <c r="B66" s="166" t="s">
        <v>230</v>
      </c>
      <c r="C66" s="127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8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spans="1:26" ht="15.75" customHeight="1" x14ac:dyDescent="0.2">
      <c r="A67" s="120"/>
      <c r="B67" s="252" t="s">
        <v>111</v>
      </c>
      <c r="C67" s="261"/>
      <c r="D67" s="185"/>
      <c r="E67" s="185"/>
      <c r="F67" s="185"/>
      <c r="G67" s="185"/>
      <c r="H67" s="185"/>
      <c r="I67" s="185"/>
      <c r="J67" s="185"/>
      <c r="K67" s="185"/>
      <c r="L67" s="185"/>
      <c r="M67" s="185"/>
      <c r="N67" s="185"/>
      <c r="O67" s="185"/>
      <c r="P67" s="8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pans="1:26" ht="15.75" customHeight="1" collapsed="1" x14ac:dyDescent="0.2">
      <c r="A68" s="120"/>
      <c r="B68" s="166" t="s">
        <v>112</v>
      </c>
      <c r="C68" s="127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8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pans="1:26" ht="15.75" hidden="1" customHeight="1" outlineLevel="1" x14ac:dyDescent="0.2">
      <c r="A69" s="177"/>
      <c r="B69" s="489" t="s">
        <v>231</v>
      </c>
      <c r="C69" s="477"/>
      <c r="D69" s="179" t="s">
        <v>17</v>
      </c>
      <c r="E69" s="179" t="s">
        <v>18</v>
      </c>
      <c r="F69" s="179" t="s">
        <v>19</v>
      </c>
      <c r="G69" s="179" t="s">
        <v>20</v>
      </c>
      <c r="H69" s="179" t="s">
        <v>21</v>
      </c>
      <c r="I69" s="179" t="s">
        <v>22</v>
      </c>
      <c r="J69" s="179" t="s">
        <v>23</v>
      </c>
      <c r="K69" s="179" t="s">
        <v>24</v>
      </c>
      <c r="L69" s="179" t="s">
        <v>25</v>
      </c>
      <c r="M69" s="179" t="s">
        <v>14</v>
      </c>
      <c r="N69" s="179" t="s">
        <v>15</v>
      </c>
      <c r="O69" s="179" t="s">
        <v>16</v>
      </c>
      <c r="P69" s="262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spans="1:26" ht="15.75" hidden="1" customHeight="1" outlineLevel="1" x14ac:dyDescent="0.2">
      <c r="A70" s="18"/>
      <c r="B70" s="24" t="s">
        <v>114</v>
      </c>
      <c r="C70" s="249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8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pans="1:26" ht="15.75" hidden="1" customHeight="1" outlineLevel="1" x14ac:dyDescent="0.2">
      <c r="A71" s="34"/>
      <c r="B71" s="81" t="s">
        <v>115</v>
      </c>
      <c r="C71" s="81"/>
      <c r="D71" s="5">
        <f t="shared" ref="D71:O71" si="35">C72</f>
        <v>0</v>
      </c>
      <c r="E71" s="5" t="e">
        <f t="shared" si="35"/>
        <v>#REF!</v>
      </c>
      <c r="F71" s="5" t="e">
        <f t="shared" si="35"/>
        <v>#REF!</v>
      </c>
      <c r="G71" s="5" t="e">
        <f t="shared" si="35"/>
        <v>#REF!</v>
      </c>
      <c r="H71" s="5" t="e">
        <f t="shared" si="35"/>
        <v>#REF!</v>
      </c>
      <c r="I71" s="5" t="e">
        <f t="shared" si="35"/>
        <v>#REF!</v>
      </c>
      <c r="J71" s="5" t="e">
        <f t="shared" si="35"/>
        <v>#REF!</v>
      </c>
      <c r="K71" s="5" t="e">
        <f t="shared" si="35"/>
        <v>#REF!</v>
      </c>
      <c r="L71" s="5" t="e">
        <f t="shared" si="35"/>
        <v>#REF!</v>
      </c>
      <c r="M71" s="5" t="e">
        <f t="shared" si="35"/>
        <v>#REF!</v>
      </c>
      <c r="N71" s="5" t="e">
        <f t="shared" si="35"/>
        <v>#REF!</v>
      </c>
      <c r="O71" s="5" t="e">
        <f t="shared" si="35"/>
        <v>#REF!</v>
      </c>
      <c r="P71" s="8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ht="15.75" hidden="1" customHeight="1" outlineLevel="1" x14ac:dyDescent="0.2">
      <c r="A72" s="18"/>
      <c r="B72" s="24" t="s">
        <v>116</v>
      </c>
      <c r="C72" s="249"/>
      <c r="D72" s="5" t="e">
        <f t="shared" ref="D72:O72" si="36">#REF!*$C$70/30</f>
        <v>#REF!</v>
      </c>
      <c r="E72" s="5" t="e">
        <f t="shared" si="36"/>
        <v>#REF!</v>
      </c>
      <c r="F72" s="5" t="e">
        <f t="shared" si="36"/>
        <v>#REF!</v>
      </c>
      <c r="G72" s="5" t="e">
        <f t="shared" si="36"/>
        <v>#REF!</v>
      </c>
      <c r="H72" s="5" t="e">
        <f t="shared" si="36"/>
        <v>#REF!</v>
      </c>
      <c r="I72" s="5" t="e">
        <f t="shared" si="36"/>
        <v>#REF!</v>
      </c>
      <c r="J72" s="5" t="e">
        <f t="shared" si="36"/>
        <v>#REF!</v>
      </c>
      <c r="K72" s="5" t="e">
        <f t="shared" si="36"/>
        <v>#REF!</v>
      </c>
      <c r="L72" s="5" t="e">
        <f t="shared" si="36"/>
        <v>#REF!</v>
      </c>
      <c r="M72" s="5" t="e">
        <f t="shared" si="36"/>
        <v>#REF!</v>
      </c>
      <c r="N72" s="5" t="e">
        <f t="shared" si="36"/>
        <v>#REF!</v>
      </c>
      <c r="O72" s="5" t="e">
        <f t="shared" si="36"/>
        <v>#REF!</v>
      </c>
      <c r="P72" s="8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ht="15.75" hidden="1" customHeight="1" outlineLevel="1" x14ac:dyDescent="0.2">
      <c r="A73" s="34"/>
      <c r="B73" s="485" t="s">
        <v>117</v>
      </c>
      <c r="C73" s="477"/>
      <c r="D73" s="5" t="e">
        <f t="shared" ref="D73:O73" si="37">D72-D71</f>
        <v>#REF!</v>
      </c>
      <c r="E73" s="5" t="e">
        <f t="shared" si="37"/>
        <v>#REF!</v>
      </c>
      <c r="F73" s="5" t="e">
        <f t="shared" si="37"/>
        <v>#REF!</v>
      </c>
      <c r="G73" s="5" t="e">
        <f t="shared" si="37"/>
        <v>#REF!</v>
      </c>
      <c r="H73" s="5" t="e">
        <f t="shared" si="37"/>
        <v>#REF!</v>
      </c>
      <c r="I73" s="5" t="e">
        <f t="shared" si="37"/>
        <v>#REF!</v>
      </c>
      <c r="J73" s="5" t="e">
        <f t="shared" si="37"/>
        <v>#REF!</v>
      </c>
      <c r="K73" s="5" t="e">
        <f t="shared" si="37"/>
        <v>#REF!</v>
      </c>
      <c r="L73" s="5" t="e">
        <f t="shared" si="37"/>
        <v>#REF!</v>
      </c>
      <c r="M73" s="5" t="e">
        <f t="shared" si="37"/>
        <v>#REF!</v>
      </c>
      <c r="N73" s="5" t="e">
        <f t="shared" si="37"/>
        <v>#REF!</v>
      </c>
      <c r="O73" s="5" t="e">
        <f t="shared" si="37"/>
        <v>#REF!</v>
      </c>
      <c r="P73" s="8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ht="15.75" hidden="1" customHeight="1" outlineLevel="1" x14ac:dyDescent="0.2">
      <c r="A74" s="120"/>
      <c r="B74" s="481"/>
      <c r="C74" s="477"/>
      <c r="D74" s="483"/>
      <c r="E74" s="477"/>
      <c r="F74" s="477"/>
      <c r="G74" s="477"/>
      <c r="H74" s="477"/>
      <c r="I74" s="477"/>
      <c r="J74" s="477"/>
      <c r="K74" s="477"/>
      <c r="L74" s="477"/>
      <c r="M74" s="477"/>
      <c r="N74" s="477"/>
      <c r="O74" s="477"/>
      <c r="P74" s="8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spans="1:26" ht="15.75" hidden="1" customHeight="1" outlineLevel="1" x14ac:dyDescent="0.2">
      <c r="A75" s="177"/>
      <c r="B75" s="489" t="s">
        <v>113</v>
      </c>
      <c r="C75" s="477"/>
      <c r="D75" s="179" t="s">
        <v>17</v>
      </c>
      <c r="E75" s="179" t="s">
        <v>18</v>
      </c>
      <c r="F75" s="179" t="s">
        <v>19</v>
      </c>
      <c r="G75" s="179" t="s">
        <v>20</v>
      </c>
      <c r="H75" s="179" t="s">
        <v>21</v>
      </c>
      <c r="I75" s="179" t="s">
        <v>22</v>
      </c>
      <c r="J75" s="179" t="s">
        <v>23</v>
      </c>
      <c r="K75" s="179" t="s">
        <v>24</v>
      </c>
      <c r="L75" s="179" t="s">
        <v>25</v>
      </c>
      <c r="M75" s="179" t="s">
        <v>14</v>
      </c>
      <c r="N75" s="179" t="s">
        <v>15</v>
      </c>
      <c r="O75" s="179" t="s">
        <v>16</v>
      </c>
      <c r="P75" s="262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spans="1:26" ht="15.75" hidden="1" customHeight="1" outlineLevel="1" x14ac:dyDescent="0.2">
      <c r="A76" s="18"/>
      <c r="B76" s="24" t="s">
        <v>114</v>
      </c>
      <c r="C76" s="249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8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26" ht="15.75" hidden="1" customHeight="1" outlineLevel="1" x14ac:dyDescent="0.2">
      <c r="A77" s="34"/>
      <c r="B77" s="81" t="s">
        <v>115</v>
      </c>
      <c r="C77" s="81"/>
      <c r="D77" s="5">
        <f t="shared" ref="D77:O77" si="38">C78</f>
        <v>0</v>
      </c>
      <c r="E77" s="5" t="e">
        <f t="shared" si="38"/>
        <v>#REF!</v>
      </c>
      <c r="F77" s="5" t="e">
        <f t="shared" si="38"/>
        <v>#REF!</v>
      </c>
      <c r="G77" s="5" t="e">
        <f t="shared" si="38"/>
        <v>#REF!</v>
      </c>
      <c r="H77" s="5" t="e">
        <f t="shared" si="38"/>
        <v>#REF!</v>
      </c>
      <c r="I77" s="5" t="e">
        <f t="shared" si="38"/>
        <v>#REF!</v>
      </c>
      <c r="J77" s="5" t="e">
        <f t="shared" si="38"/>
        <v>#REF!</v>
      </c>
      <c r="K77" s="5" t="e">
        <f t="shared" si="38"/>
        <v>#REF!</v>
      </c>
      <c r="L77" s="5" t="e">
        <f t="shared" si="38"/>
        <v>#REF!</v>
      </c>
      <c r="M77" s="5" t="e">
        <f t="shared" si="38"/>
        <v>#REF!</v>
      </c>
      <c r="N77" s="5" t="e">
        <f t="shared" si="38"/>
        <v>#REF!</v>
      </c>
      <c r="O77" s="5" t="e">
        <f t="shared" si="38"/>
        <v>#REF!</v>
      </c>
      <c r="P77" s="8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pans="1:26" ht="15.75" hidden="1" customHeight="1" outlineLevel="1" x14ac:dyDescent="0.2">
      <c r="A78" s="18"/>
      <c r="B78" s="24" t="s">
        <v>116</v>
      </c>
      <c r="C78" s="249"/>
      <c r="D78" s="5" t="e">
        <f t="shared" ref="D78:O78" si="39">-#REF!*$C$76/30</f>
        <v>#REF!</v>
      </c>
      <c r="E78" s="5" t="e">
        <f t="shared" si="39"/>
        <v>#REF!</v>
      </c>
      <c r="F78" s="5" t="e">
        <f t="shared" si="39"/>
        <v>#REF!</v>
      </c>
      <c r="G78" s="5" t="e">
        <f t="shared" si="39"/>
        <v>#REF!</v>
      </c>
      <c r="H78" s="5" t="e">
        <f t="shared" si="39"/>
        <v>#REF!</v>
      </c>
      <c r="I78" s="5" t="e">
        <f t="shared" si="39"/>
        <v>#REF!</v>
      </c>
      <c r="J78" s="5" t="e">
        <f t="shared" si="39"/>
        <v>#REF!</v>
      </c>
      <c r="K78" s="5" t="e">
        <f t="shared" si="39"/>
        <v>#REF!</v>
      </c>
      <c r="L78" s="5" t="e">
        <f t="shared" si="39"/>
        <v>#REF!</v>
      </c>
      <c r="M78" s="5" t="e">
        <f t="shared" si="39"/>
        <v>#REF!</v>
      </c>
      <c r="N78" s="5" t="e">
        <f t="shared" si="39"/>
        <v>#REF!</v>
      </c>
      <c r="O78" s="5" t="e">
        <f t="shared" si="39"/>
        <v>#REF!</v>
      </c>
      <c r="P78" s="8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pans="1:26" ht="15.75" hidden="1" customHeight="1" outlineLevel="1" x14ac:dyDescent="0.2">
      <c r="A79" s="34"/>
      <c r="B79" s="485" t="s">
        <v>117</v>
      </c>
      <c r="C79" s="477"/>
      <c r="D79" s="5" t="e">
        <f t="shared" ref="D79:O79" si="40">D78-D77</f>
        <v>#REF!</v>
      </c>
      <c r="E79" s="5" t="e">
        <f t="shared" si="40"/>
        <v>#REF!</v>
      </c>
      <c r="F79" s="5" t="e">
        <f t="shared" si="40"/>
        <v>#REF!</v>
      </c>
      <c r="G79" s="5" t="e">
        <f t="shared" si="40"/>
        <v>#REF!</v>
      </c>
      <c r="H79" s="5" t="e">
        <f t="shared" si="40"/>
        <v>#REF!</v>
      </c>
      <c r="I79" s="5" t="e">
        <f t="shared" si="40"/>
        <v>#REF!</v>
      </c>
      <c r="J79" s="5" t="e">
        <f t="shared" si="40"/>
        <v>#REF!</v>
      </c>
      <c r="K79" s="5" t="e">
        <f t="shared" si="40"/>
        <v>#REF!</v>
      </c>
      <c r="L79" s="5" t="e">
        <f t="shared" si="40"/>
        <v>#REF!</v>
      </c>
      <c r="M79" s="5" t="e">
        <f t="shared" si="40"/>
        <v>#REF!</v>
      </c>
      <c r="N79" s="5" t="e">
        <f t="shared" si="40"/>
        <v>#REF!</v>
      </c>
      <c r="O79" s="5" t="e">
        <f t="shared" si="40"/>
        <v>#REF!</v>
      </c>
      <c r="P79" s="8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spans="1:26" ht="15.75" hidden="1" customHeight="1" outlineLevel="1" x14ac:dyDescent="0.2">
      <c r="A80" s="120"/>
      <c r="B80" s="481"/>
      <c r="C80" s="477"/>
      <c r="D80" s="483"/>
      <c r="E80" s="477"/>
      <c r="F80" s="477"/>
      <c r="G80" s="477"/>
      <c r="H80" s="477"/>
      <c r="I80" s="477"/>
      <c r="J80" s="477"/>
      <c r="K80" s="477"/>
      <c r="L80" s="477"/>
      <c r="M80" s="477"/>
      <c r="N80" s="477"/>
      <c r="O80" s="477"/>
      <c r="P80" s="8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spans="1:26" ht="15.75" hidden="1" customHeight="1" outlineLevel="1" x14ac:dyDescent="0.2">
      <c r="A81" s="120"/>
      <c r="B81" s="489" t="s">
        <v>118</v>
      </c>
      <c r="C81" s="477"/>
      <c r="D81" s="169" t="s">
        <v>17</v>
      </c>
      <c r="E81" s="169" t="s">
        <v>18</v>
      </c>
      <c r="F81" s="169" t="s">
        <v>19</v>
      </c>
      <c r="G81" s="169" t="s">
        <v>20</v>
      </c>
      <c r="H81" s="169" t="s">
        <v>21</v>
      </c>
      <c r="I81" s="169" t="s">
        <v>22</v>
      </c>
      <c r="J81" s="169" t="s">
        <v>23</v>
      </c>
      <c r="K81" s="169" t="s">
        <v>24</v>
      </c>
      <c r="L81" s="169" t="s">
        <v>25</v>
      </c>
      <c r="M81" s="169" t="s">
        <v>14</v>
      </c>
      <c r="N81" s="169" t="s">
        <v>15</v>
      </c>
      <c r="O81" s="169" t="s">
        <v>16</v>
      </c>
      <c r="P81" s="8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spans="1:26" ht="15.75" hidden="1" customHeight="1" outlineLevel="1" x14ac:dyDescent="0.2">
      <c r="A82" s="120"/>
      <c r="B82" s="24" t="s">
        <v>119</v>
      </c>
      <c r="C82" s="249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8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spans="1:26" ht="15.75" hidden="1" customHeight="1" outlineLevel="1" x14ac:dyDescent="0.2">
      <c r="A83" s="120"/>
      <c r="B83" s="81" t="s">
        <v>120</v>
      </c>
      <c r="C83" s="81"/>
      <c r="D83" s="5">
        <f t="shared" ref="D83:O83" si="41">C84</f>
        <v>0</v>
      </c>
      <c r="E83" s="5" t="e">
        <f t="shared" si="41"/>
        <v>#REF!</v>
      </c>
      <c r="F83" s="5" t="e">
        <f t="shared" si="41"/>
        <v>#REF!</v>
      </c>
      <c r="G83" s="5" t="e">
        <f t="shared" si="41"/>
        <v>#REF!</v>
      </c>
      <c r="H83" s="5" t="e">
        <f t="shared" si="41"/>
        <v>#REF!</v>
      </c>
      <c r="I83" s="5" t="e">
        <f t="shared" si="41"/>
        <v>#REF!</v>
      </c>
      <c r="J83" s="5" t="e">
        <f t="shared" si="41"/>
        <v>#REF!</v>
      </c>
      <c r="K83" s="5" t="e">
        <f t="shared" si="41"/>
        <v>#REF!</v>
      </c>
      <c r="L83" s="5" t="e">
        <f t="shared" si="41"/>
        <v>#REF!</v>
      </c>
      <c r="M83" s="5" t="e">
        <f t="shared" si="41"/>
        <v>#REF!</v>
      </c>
      <c r="N83" s="5" t="e">
        <f t="shared" si="41"/>
        <v>#REF!</v>
      </c>
      <c r="O83" s="5" t="e">
        <f t="shared" si="41"/>
        <v>#REF!</v>
      </c>
      <c r="P83" s="8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spans="1:26" ht="15.75" hidden="1" customHeight="1" outlineLevel="1" x14ac:dyDescent="0.2">
      <c r="A84" s="120"/>
      <c r="B84" s="24" t="s">
        <v>121</v>
      </c>
      <c r="C84" s="249"/>
      <c r="D84" s="5" t="e">
        <f t="shared" ref="D84:O84" si="42">-#REF!*$C$82/30</f>
        <v>#REF!</v>
      </c>
      <c r="E84" s="5" t="e">
        <f t="shared" si="42"/>
        <v>#REF!</v>
      </c>
      <c r="F84" s="5" t="e">
        <f t="shared" si="42"/>
        <v>#REF!</v>
      </c>
      <c r="G84" s="5" t="e">
        <f t="shared" si="42"/>
        <v>#REF!</v>
      </c>
      <c r="H84" s="5" t="e">
        <f t="shared" si="42"/>
        <v>#REF!</v>
      </c>
      <c r="I84" s="5" t="e">
        <f t="shared" si="42"/>
        <v>#REF!</v>
      </c>
      <c r="J84" s="5" t="e">
        <f t="shared" si="42"/>
        <v>#REF!</v>
      </c>
      <c r="K84" s="5" t="e">
        <f t="shared" si="42"/>
        <v>#REF!</v>
      </c>
      <c r="L84" s="5" t="e">
        <f t="shared" si="42"/>
        <v>#REF!</v>
      </c>
      <c r="M84" s="5" t="e">
        <f t="shared" si="42"/>
        <v>#REF!</v>
      </c>
      <c r="N84" s="5" t="e">
        <f t="shared" si="42"/>
        <v>#REF!</v>
      </c>
      <c r="O84" s="5" t="e">
        <f t="shared" si="42"/>
        <v>#REF!</v>
      </c>
      <c r="P84" s="263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spans="1:26" ht="15.75" hidden="1" customHeight="1" outlineLevel="1" x14ac:dyDescent="0.2">
      <c r="A85" s="120"/>
      <c r="B85" s="485" t="s">
        <v>122</v>
      </c>
      <c r="C85" s="477"/>
      <c r="D85" s="5" t="e">
        <f t="shared" ref="D85:O85" si="43">D84-D83</f>
        <v>#REF!</v>
      </c>
      <c r="E85" s="5" t="e">
        <f t="shared" si="43"/>
        <v>#REF!</v>
      </c>
      <c r="F85" s="5" t="e">
        <f t="shared" si="43"/>
        <v>#REF!</v>
      </c>
      <c r="G85" s="5" t="e">
        <f t="shared" si="43"/>
        <v>#REF!</v>
      </c>
      <c r="H85" s="5" t="e">
        <f t="shared" si="43"/>
        <v>#REF!</v>
      </c>
      <c r="I85" s="5" t="e">
        <f t="shared" si="43"/>
        <v>#REF!</v>
      </c>
      <c r="J85" s="5" t="e">
        <f t="shared" si="43"/>
        <v>#REF!</v>
      </c>
      <c r="K85" s="5" t="e">
        <f t="shared" si="43"/>
        <v>#REF!</v>
      </c>
      <c r="L85" s="5" t="e">
        <f t="shared" si="43"/>
        <v>#REF!</v>
      </c>
      <c r="M85" s="5" t="e">
        <f t="shared" si="43"/>
        <v>#REF!</v>
      </c>
      <c r="N85" s="5" t="e">
        <f t="shared" si="43"/>
        <v>#REF!</v>
      </c>
      <c r="O85" s="5" t="e">
        <f t="shared" si="43"/>
        <v>#REF!</v>
      </c>
      <c r="P85" s="263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spans="1:26" ht="15.75" customHeight="1" x14ac:dyDescent="0.2">
      <c r="A86" s="120"/>
      <c r="B86" s="127"/>
      <c r="C86" s="127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263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spans="1:26" ht="15.75" customHeight="1" x14ac:dyDescent="0.2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spans="1:26" ht="15.75" customHeight="1" x14ac:dyDescent="0.2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pans="1:26" ht="15.75" customHeight="1" x14ac:dyDescent="0.2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spans="1:26" ht="15.75" customHeight="1" x14ac:dyDescent="0.2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ht="15.75" customHeight="1" x14ac:dyDescent="0.2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ht="15.75" customHeight="1" x14ac:dyDescent="0.2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pans="1:26" ht="15.75" customHeight="1" x14ac:dyDescent="0.2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pans="1:26" ht="15.75" customHeight="1" x14ac:dyDescent="0.2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ht="15.75" customHeight="1" x14ac:dyDescent="0.2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ht="15.75" customHeight="1" x14ac:dyDescent="0.2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pans="1:26" ht="15.75" customHeight="1" x14ac:dyDescent="0.2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pans="1:26" ht="15.75" customHeight="1" x14ac:dyDescent="0.2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pans="1:26" ht="15.75" customHeight="1" x14ac:dyDescent="0.2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pans="1:26" ht="15.75" customHeight="1" x14ac:dyDescent="0.2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spans="1:26" ht="15.75" customHeight="1" x14ac:dyDescent="0.2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spans="1:26" ht="15.75" customHeight="1" x14ac:dyDescent="0.2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spans="1:26" ht="15.75" customHeight="1" x14ac:dyDescent="0.2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pans="1:26" ht="15.75" customHeight="1" x14ac:dyDescent="0.2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spans="1:26" ht="15.75" customHeight="1" x14ac:dyDescent="0.2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spans="1:26" ht="15.75" customHeight="1" x14ac:dyDescent="0.2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spans="1:26" ht="15.75" customHeight="1" x14ac:dyDescent="0.2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spans="1:26" ht="15.75" customHeight="1" x14ac:dyDescent="0.2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spans="1:26" ht="15.75" customHeight="1" x14ac:dyDescent="0.2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pans="1:26" ht="15.75" customHeight="1" x14ac:dyDescent="0.2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spans="1:26" ht="15.75" customHeight="1" x14ac:dyDescent="0.2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spans="1:26" ht="15.75" customHeight="1" x14ac:dyDescent="0.2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spans="1:26" ht="15.75" customHeight="1" x14ac:dyDescent="0.2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spans="1:26" ht="15.75" customHeight="1" x14ac:dyDescent="0.2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spans="1:26" ht="15.75" customHeight="1" x14ac:dyDescent="0.2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pans="1:26" ht="15.75" customHeight="1" x14ac:dyDescent="0.2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spans="1:26" ht="15.75" customHeight="1" x14ac:dyDescent="0.2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spans="1:26" ht="15.75" customHeight="1" x14ac:dyDescent="0.2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spans="1:26" ht="15.75" customHeight="1" x14ac:dyDescent="0.2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spans="1:26" ht="15.75" customHeight="1" x14ac:dyDescent="0.2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spans="1:26" ht="15.75" customHeight="1" x14ac:dyDescent="0.2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pans="1:26" ht="15.75" customHeight="1" x14ac:dyDescent="0.2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spans="1:26" ht="15.75" customHeight="1" x14ac:dyDescent="0.2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spans="1:26" ht="15.75" customHeight="1" x14ac:dyDescent="0.2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spans="1:26" ht="15.75" customHeight="1" x14ac:dyDescent="0.2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pans="1:26" ht="15.75" customHeight="1" x14ac:dyDescent="0.2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pans="1:26" ht="15.75" customHeight="1" x14ac:dyDescent="0.2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pans="1:26" ht="15.75" customHeight="1" x14ac:dyDescent="0.2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spans="1:26" ht="15.75" customHeight="1" x14ac:dyDescent="0.2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spans="1:26" ht="15.75" customHeight="1" x14ac:dyDescent="0.2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spans="1:26" ht="15.75" customHeight="1" x14ac:dyDescent="0.2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pans="1:26" ht="15.75" customHeight="1" x14ac:dyDescent="0.2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spans="1:26" ht="15.75" customHeight="1" x14ac:dyDescent="0.2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spans="1:26" ht="15.75" customHeight="1" x14ac:dyDescent="0.2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spans="1:26" ht="15.75" customHeight="1" x14ac:dyDescent="0.2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spans="1:26" ht="15.75" customHeight="1" x14ac:dyDescent="0.2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spans="1:26" ht="15.75" customHeight="1" x14ac:dyDescent="0.2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spans="1:26" ht="15.75" customHeight="1" x14ac:dyDescent="0.2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spans="1:26" ht="15.75" customHeight="1" x14ac:dyDescent="0.2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spans="1:26" ht="15.75" customHeight="1" x14ac:dyDescent="0.2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spans="1:26" ht="15.75" customHeight="1" x14ac:dyDescent="0.2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spans="1:26" ht="15.75" customHeight="1" x14ac:dyDescent="0.2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spans="1:26" ht="15.75" customHeight="1" x14ac:dyDescent="0.2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spans="1:26" ht="15.75" customHeight="1" x14ac:dyDescent="0.2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spans="1:26" ht="15.75" customHeight="1" x14ac:dyDescent="0.2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spans="1:26" ht="15.75" customHeight="1" x14ac:dyDescent="0.2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spans="1:26" ht="15.75" customHeight="1" x14ac:dyDescent="0.2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spans="1:26" ht="15.75" customHeight="1" x14ac:dyDescent="0.2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spans="1:26" ht="15.75" customHeight="1" x14ac:dyDescent="0.2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spans="1:26" ht="15.75" customHeight="1" x14ac:dyDescent="0.2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pans="1:26" ht="15.75" customHeight="1" x14ac:dyDescent="0.2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spans="1:26" ht="15.75" customHeight="1" x14ac:dyDescent="0.2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spans="1:26" ht="15.75" customHeight="1" x14ac:dyDescent="0.2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spans="1:26" ht="15.75" customHeight="1" x14ac:dyDescent="0.2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spans="1:26" ht="15.75" customHeight="1" x14ac:dyDescent="0.2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spans="1:26" ht="15.75" customHeight="1" x14ac:dyDescent="0.2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spans="1:26" ht="15.75" customHeight="1" x14ac:dyDescent="0.2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spans="1:26" ht="15.75" customHeight="1" x14ac:dyDescent="0.2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spans="1:26" ht="15.75" customHeight="1" x14ac:dyDescent="0.2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spans="1:26" ht="15.75" customHeight="1" x14ac:dyDescent="0.2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spans="1:26" ht="15.75" customHeight="1" x14ac:dyDescent="0.2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spans="1:26" ht="15.75" customHeight="1" x14ac:dyDescent="0.2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spans="1:26" ht="15.75" customHeight="1" x14ac:dyDescent="0.2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spans="1:26" ht="15.75" customHeight="1" x14ac:dyDescent="0.2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spans="1:26" ht="15.75" customHeight="1" x14ac:dyDescent="0.2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spans="1:26" ht="15.75" customHeight="1" x14ac:dyDescent="0.2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spans="1:26" ht="15.75" customHeight="1" x14ac:dyDescent="0.2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spans="1:26" ht="15.75" customHeight="1" x14ac:dyDescent="0.2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pans="1:26" ht="15.75" customHeight="1" x14ac:dyDescent="0.2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spans="1:26" ht="15.75" customHeight="1" x14ac:dyDescent="0.2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spans="1:26" ht="15.75" customHeight="1" x14ac:dyDescent="0.2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spans="1:26" ht="15.75" customHeight="1" x14ac:dyDescent="0.2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spans="1:26" ht="15.75" customHeight="1" x14ac:dyDescent="0.2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spans="1:26" ht="15.75" customHeight="1" x14ac:dyDescent="0.2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spans="1:26" ht="15.75" customHeight="1" x14ac:dyDescent="0.2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spans="1:26" ht="15.75" customHeight="1" x14ac:dyDescent="0.2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spans="1:26" ht="15.75" customHeight="1" x14ac:dyDescent="0.2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spans="1:26" ht="15.75" customHeight="1" x14ac:dyDescent="0.2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pans="1:26" ht="15.75" customHeight="1" x14ac:dyDescent="0.2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spans="1:26" ht="15.75" customHeight="1" x14ac:dyDescent="0.2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spans="1:26" ht="15.75" customHeight="1" x14ac:dyDescent="0.2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spans="1:26" ht="15.75" customHeight="1" x14ac:dyDescent="0.2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spans="1:26" ht="15.75" customHeight="1" x14ac:dyDescent="0.2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spans="1:26" ht="15.75" customHeight="1" x14ac:dyDescent="0.2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spans="1:26" ht="15.75" customHeight="1" x14ac:dyDescent="0.2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spans="1:26" ht="15.75" customHeight="1" x14ac:dyDescent="0.2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spans="1:26" ht="15.75" customHeight="1" x14ac:dyDescent="0.2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spans="1:26" ht="15.75" customHeight="1" x14ac:dyDescent="0.2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pans="1:26" ht="15.75" customHeight="1" x14ac:dyDescent="0.2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spans="1:26" ht="15.75" customHeight="1" x14ac:dyDescent="0.2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pans="1:26" ht="15.75" customHeight="1" x14ac:dyDescent="0.2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pans="1:26" ht="15.75" customHeight="1" x14ac:dyDescent="0.2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spans="1:26" ht="15.75" customHeight="1" x14ac:dyDescent="0.2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spans="1:26" ht="15.75" customHeight="1" x14ac:dyDescent="0.2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pans="1:26" ht="15.75" customHeight="1" x14ac:dyDescent="0.2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spans="1:26" ht="15.75" customHeight="1" x14ac:dyDescent="0.2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spans="1:26" ht="15.75" customHeight="1" x14ac:dyDescent="0.2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spans="1:26" ht="15.75" customHeight="1" x14ac:dyDescent="0.2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spans="1:26" ht="15.75" customHeight="1" x14ac:dyDescent="0.2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spans="1:26" ht="15.75" customHeight="1" x14ac:dyDescent="0.2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spans="1:26" ht="15.75" customHeight="1" x14ac:dyDescent="0.2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spans="1:26" ht="15.75" customHeight="1" x14ac:dyDescent="0.2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spans="1:26" ht="15.75" customHeight="1" x14ac:dyDescent="0.2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spans="1:26" ht="15.75" customHeight="1" x14ac:dyDescent="0.2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spans="1:26" ht="15.75" customHeight="1" x14ac:dyDescent="0.2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spans="1:26" ht="15.75" customHeight="1" x14ac:dyDescent="0.2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spans="1:26" ht="15.75" customHeight="1" x14ac:dyDescent="0.2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spans="1:26" ht="15.75" customHeight="1" x14ac:dyDescent="0.2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spans="1:26" ht="15.75" customHeight="1" x14ac:dyDescent="0.2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spans="1:26" ht="15.75" customHeight="1" x14ac:dyDescent="0.2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spans="1:26" ht="15.75" customHeight="1" x14ac:dyDescent="0.2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spans="1:26" ht="15.75" customHeight="1" x14ac:dyDescent="0.2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spans="1:26" ht="15.75" customHeight="1" x14ac:dyDescent="0.2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spans="1:26" ht="15.75" customHeight="1" x14ac:dyDescent="0.2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spans="1:26" ht="15.75" customHeight="1" x14ac:dyDescent="0.2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spans="1:26" ht="15.75" customHeight="1" x14ac:dyDescent="0.2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spans="1:26" ht="15.75" customHeight="1" x14ac:dyDescent="0.2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spans="1:26" ht="15.75" customHeight="1" x14ac:dyDescent="0.2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spans="1:26" ht="15.75" customHeight="1" x14ac:dyDescent="0.2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spans="1:26" ht="15.75" customHeight="1" x14ac:dyDescent="0.2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spans="1:26" ht="15.75" customHeight="1" x14ac:dyDescent="0.2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spans="1:26" ht="15.75" customHeight="1" x14ac:dyDescent="0.2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spans="1:26" ht="15.75" customHeight="1" x14ac:dyDescent="0.2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spans="1:26" ht="15.75" customHeight="1" x14ac:dyDescent="0.2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spans="1:26" ht="15.75" customHeight="1" x14ac:dyDescent="0.2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spans="1:26" ht="15.75" customHeight="1" x14ac:dyDescent="0.2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spans="1:26" ht="15.75" customHeight="1" x14ac:dyDescent="0.2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spans="1:26" ht="15.75" customHeight="1" x14ac:dyDescent="0.2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spans="1:26" ht="15.75" customHeight="1" x14ac:dyDescent="0.2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spans="1:26" ht="15.75" customHeight="1" x14ac:dyDescent="0.2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spans="1:26" ht="15.75" customHeight="1" x14ac:dyDescent="0.2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spans="1:26" ht="15.75" customHeight="1" x14ac:dyDescent="0.2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spans="1:26" ht="15.75" customHeight="1" x14ac:dyDescent="0.2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spans="1:26" ht="15.75" customHeight="1" x14ac:dyDescent="0.2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spans="1:26" ht="15.75" customHeight="1" x14ac:dyDescent="0.2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spans="1:26" ht="15.75" customHeight="1" x14ac:dyDescent="0.2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spans="1:26" ht="15.75" customHeight="1" x14ac:dyDescent="0.2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spans="1:26" ht="15.75" customHeight="1" x14ac:dyDescent="0.2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spans="1:26" ht="15.75" customHeight="1" x14ac:dyDescent="0.2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spans="1:26" ht="15.75" customHeight="1" x14ac:dyDescent="0.2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spans="1:26" ht="15.75" customHeight="1" x14ac:dyDescent="0.2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spans="1:26" ht="15.75" customHeight="1" x14ac:dyDescent="0.2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spans="1:26" ht="15.75" customHeight="1" x14ac:dyDescent="0.2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spans="1:26" ht="15.75" customHeight="1" x14ac:dyDescent="0.2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spans="1:26" ht="15.75" customHeight="1" x14ac:dyDescent="0.2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spans="1:26" ht="15.75" customHeight="1" x14ac:dyDescent="0.2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spans="1:26" ht="15.75" customHeight="1" x14ac:dyDescent="0.2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spans="1:26" ht="15.75" customHeight="1" x14ac:dyDescent="0.2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spans="1:26" ht="15.75" customHeight="1" x14ac:dyDescent="0.2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spans="1:26" ht="15.75" customHeight="1" x14ac:dyDescent="0.2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spans="1:26" ht="15.75" customHeight="1" x14ac:dyDescent="0.2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spans="1:26" ht="15.75" customHeight="1" x14ac:dyDescent="0.2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spans="1:26" ht="15.75" customHeight="1" x14ac:dyDescent="0.2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spans="1:26" ht="15.75" customHeight="1" x14ac:dyDescent="0.2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spans="1:26" ht="15.75" customHeight="1" x14ac:dyDescent="0.2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spans="1:26" ht="15.75" customHeight="1" x14ac:dyDescent="0.2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spans="1:26" ht="15.75" customHeight="1" x14ac:dyDescent="0.2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spans="1:26" ht="15.75" customHeight="1" x14ac:dyDescent="0.2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spans="1:26" ht="15.75" customHeight="1" x14ac:dyDescent="0.2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spans="1:26" ht="15.75" customHeight="1" x14ac:dyDescent="0.2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spans="1:26" ht="15.75" customHeight="1" x14ac:dyDescent="0.2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spans="1:26" ht="15.75" customHeight="1" x14ac:dyDescent="0.2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spans="1:26" ht="15.75" customHeight="1" x14ac:dyDescent="0.2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spans="1:26" ht="15.75" customHeight="1" x14ac:dyDescent="0.2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spans="1:26" ht="15.75" customHeight="1" x14ac:dyDescent="0.2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spans="1:26" ht="15.75" customHeight="1" x14ac:dyDescent="0.2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spans="1:26" ht="15.75" customHeight="1" x14ac:dyDescent="0.2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spans="1:26" ht="15.75" customHeight="1" x14ac:dyDescent="0.2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spans="1:26" ht="15.75" customHeight="1" x14ac:dyDescent="0.2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spans="1:26" ht="15.75" customHeight="1" x14ac:dyDescent="0.2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spans="1:26" ht="15.75" customHeight="1" x14ac:dyDescent="0.2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spans="1:26" ht="15.75" customHeight="1" x14ac:dyDescent="0.2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spans="1:26" ht="15.75" customHeight="1" x14ac:dyDescent="0.2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spans="1:26" ht="15.75" customHeight="1" x14ac:dyDescent="0.2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spans="1:26" ht="15.75" customHeight="1" x14ac:dyDescent="0.2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spans="1:26" ht="15.75" customHeight="1" x14ac:dyDescent="0.2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spans="1:26" ht="15.75" customHeight="1" x14ac:dyDescent="0.2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spans="1:26" ht="15.75" customHeight="1" x14ac:dyDescent="0.2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spans="1:26" ht="15.75" customHeight="1" x14ac:dyDescent="0.2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spans="1:26" ht="15.75" customHeight="1" x14ac:dyDescent="0.2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spans="1:26" ht="15.75" customHeight="1" x14ac:dyDescent="0.2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spans="1:26" ht="15.75" customHeight="1" x14ac:dyDescent="0.2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spans="1:26" ht="15.75" customHeight="1" x14ac:dyDescent="0.2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spans="1:26" ht="15.75" customHeight="1" x14ac:dyDescent="0.2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spans="1:26" ht="15.75" customHeight="1" x14ac:dyDescent="0.2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spans="1:26" ht="15.75" customHeight="1" x14ac:dyDescent="0.2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spans="1:26" ht="15.75" customHeight="1" x14ac:dyDescent="0.2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spans="1:26" ht="15.75" customHeight="1" x14ac:dyDescent="0.2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spans="1:26" ht="15.75" customHeight="1" x14ac:dyDescent="0.2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spans="1:26" ht="15.75" customHeight="1" x14ac:dyDescent="0.2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spans="1:26" ht="15.75" customHeight="1" x14ac:dyDescent="0.2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spans="1:26" ht="15.75" customHeight="1" x14ac:dyDescent="0.2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spans="1:26" ht="15.75" customHeight="1" x14ac:dyDescent="0.2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spans="1:26" ht="15.75" customHeight="1" x14ac:dyDescent="0.2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spans="1:26" ht="15.75" customHeight="1" x14ac:dyDescent="0.2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spans="1:26" ht="15.75" customHeight="1" x14ac:dyDescent="0.2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spans="1:26" ht="15.75" customHeight="1" x14ac:dyDescent="0.2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spans="1:26" ht="15.75" customHeight="1" x14ac:dyDescent="0.2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spans="1:26" ht="15.75" customHeight="1" x14ac:dyDescent="0.2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spans="1:26" ht="15.75" customHeight="1" x14ac:dyDescent="0.2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spans="1:26" ht="15.75" customHeight="1" x14ac:dyDescent="0.2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spans="1:26" ht="15.75" customHeight="1" x14ac:dyDescent="0.2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spans="1:26" ht="15.75" customHeight="1" x14ac:dyDescent="0.2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spans="1:26" ht="15.75" customHeight="1" x14ac:dyDescent="0.2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spans="1:26" ht="15.75" customHeight="1" x14ac:dyDescent="0.2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spans="1:26" ht="15.75" customHeight="1" x14ac:dyDescent="0.2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spans="1:26" ht="15.75" customHeight="1" x14ac:dyDescent="0.2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spans="1:26" ht="15.75" customHeight="1" x14ac:dyDescent="0.2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spans="1:26" ht="15.75" customHeight="1" x14ac:dyDescent="0.2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spans="1:26" ht="15.75" customHeight="1" x14ac:dyDescent="0.2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spans="1:26" ht="15.75" customHeight="1" x14ac:dyDescent="0.2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spans="1:26" ht="15.75" customHeight="1" x14ac:dyDescent="0.2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spans="1:26" ht="15.75" customHeight="1" x14ac:dyDescent="0.2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spans="1:26" ht="15.75" customHeight="1" x14ac:dyDescent="0.2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spans="1:26" ht="15.75" customHeight="1" x14ac:dyDescent="0.2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spans="1:26" ht="15.75" customHeight="1" x14ac:dyDescent="0.2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spans="1:26" ht="15.75" customHeight="1" x14ac:dyDescent="0.2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spans="1:26" ht="15.75" customHeight="1" x14ac:dyDescent="0.2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spans="1:26" ht="15.75" customHeight="1" x14ac:dyDescent="0.2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spans="1:26" ht="15.75" customHeight="1" x14ac:dyDescent="0.2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spans="1:26" ht="15.75" customHeight="1" x14ac:dyDescent="0.2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spans="1:26" ht="15.75" customHeight="1" x14ac:dyDescent="0.2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spans="1:26" ht="15.75" customHeight="1" x14ac:dyDescent="0.2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spans="1:26" ht="15.75" customHeight="1" x14ac:dyDescent="0.2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spans="1:26" ht="15.75" customHeight="1" x14ac:dyDescent="0.2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spans="1:26" ht="15.75" customHeight="1" x14ac:dyDescent="0.2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spans="1:26" ht="15.75" customHeight="1" x14ac:dyDescent="0.2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spans="1:26" ht="15.75" customHeight="1" x14ac:dyDescent="0.2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spans="1:26" ht="15.75" customHeight="1" x14ac:dyDescent="0.2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spans="1:26" ht="15.75" customHeight="1" x14ac:dyDescent="0.2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spans="1:26" ht="15.75" customHeight="1" x14ac:dyDescent="0.2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spans="1:26" ht="15.75" customHeight="1" x14ac:dyDescent="0.2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spans="1:26" ht="15.75" customHeight="1" x14ac:dyDescent="0.2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spans="1:26" ht="15.75" customHeight="1" x14ac:dyDescent="0.2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spans="1:26" ht="15.75" customHeight="1" x14ac:dyDescent="0.2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spans="1:26" ht="15.75" customHeight="1" x14ac:dyDescent="0.2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spans="1:26" ht="15.75" customHeight="1" x14ac:dyDescent="0.2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spans="1:26" ht="15.75" customHeight="1" x14ac:dyDescent="0.2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spans="1:26" ht="15.75" customHeight="1" x14ac:dyDescent="0.2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spans="1:26" ht="15.75" customHeight="1" x14ac:dyDescent="0.2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spans="1:26" ht="15.75" customHeight="1" x14ac:dyDescent="0.2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spans="1:26" ht="15.75" customHeight="1" x14ac:dyDescent="0.2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spans="1:26" ht="15.75" customHeight="1" x14ac:dyDescent="0.2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spans="1:26" ht="15.75" customHeight="1" x14ac:dyDescent="0.2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spans="1:26" ht="15.75" customHeight="1" x14ac:dyDescent="0.2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spans="1:26" ht="15.75" customHeight="1" x14ac:dyDescent="0.2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spans="1:26" ht="15.75" customHeight="1" x14ac:dyDescent="0.2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spans="1:26" ht="15.75" customHeight="1" x14ac:dyDescent="0.2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spans="1:26" ht="15.75" customHeight="1" x14ac:dyDescent="0.2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spans="1:26" ht="15.75" customHeight="1" x14ac:dyDescent="0.2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spans="1:26" ht="15.75" customHeight="1" x14ac:dyDescent="0.2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spans="1:26" ht="15.75" customHeight="1" x14ac:dyDescent="0.2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spans="1:26" ht="15.75" customHeight="1" x14ac:dyDescent="0.2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spans="1:26" ht="15.75" customHeight="1" x14ac:dyDescent="0.2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spans="1:26" ht="15.75" customHeight="1" x14ac:dyDescent="0.2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spans="1:26" ht="15.75" customHeight="1" x14ac:dyDescent="0.2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spans="1:26" ht="15.75" customHeight="1" x14ac:dyDescent="0.2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spans="1:26" ht="15.75" customHeight="1" x14ac:dyDescent="0.2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spans="1:26" ht="15.75" customHeight="1" x14ac:dyDescent="0.2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spans="1:26" ht="15.75" customHeight="1" x14ac:dyDescent="0.2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spans="1:26" ht="15.75" customHeight="1" x14ac:dyDescent="0.2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spans="1:26" ht="15.75" customHeight="1" x14ac:dyDescent="0.2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spans="1:26" ht="15.75" customHeight="1" x14ac:dyDescent="0.2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spans="1:26" ht="15.75" customHeight="1" x14ac:dyDescent="0.2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spans="1:26" ht="15.75" customHeight="1" x14ac:dyDescent="0.2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spans="1:26" ht="15.75" customHeight="1" x14ac:dyDescent="0.2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spans="1:26" ht="15.75" customHeight="1" x14ac:dyDescent="0.2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spans="1:26" ht="15.75" customHeight="1" x14ac:dyDescent="0.2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spans="1:26" ht="15.75" customHeight="1" x14ac:dyDescent="0.2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spans="1:26" ht="15.75" customHeight="1" x14ac:dyDescent="0.2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spans="1:26" ht="15.75" customHeight="1" x14ac:dyDescent="0.2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spans="1:26" ht="15.75" customHeight="1" x14ac:dyDescent="0.2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spans="1:26" ht="15.75" customHeight="1" x14ac:dyDescent="0.2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spans="1:26" ht="15.75" customHeight="1" x14ac:dyDescent="0.2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spans="1:26" ht="15.75" customHeight="1" x14ac:dyDescent="0.2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spans="1:26" ht="15.75" customHeight="1" x14ac:dyDescent="0.2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spans="1:26" ht="15.75" customHeight="1" x14ac:dyDescent="0.2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spans="1:26" ht="15.75" customHeight="1" x14ac:dyDescent="0.2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spans="1:26" ht="15.75" customHeight="1" x14ac:dyDescent="0.2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spans="1:26" ht="15.75" customHeight="1" x14ac:dyDescent="0.2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spans="1:26" ht="15.75" customHeight="1" x14ac:dyDescent="0.2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spans="1:26" ht="15.75" customHeight="1" x14ac:dyDescent="0.2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spans="1:26" ht="15.75" customHeight="1" x14ac:dyDescent="0.2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spans="1:26" ht="15.75" customHeight="1" x14ac:dyDescent="0.2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spans="1:26" ht="15.75" customHeight="1" x14ac:dyDescent="0.2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spans="1:26" ht="15.75" customHeight="1" x14ac:dyDescent="0.2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spans="1:26" ht="15.75" customHeight="1" x14ac:dyDescent="0.2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spans="1:26" ht="15.75" customHeight="1" x14ac:dyDescent="0.2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spans="1:26" ht="15.75" customHeight="1" x14ac:dyDescent="0.2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spans="1:26" ht="15.75" customHeight="1" x14ac:dyDescent="0.2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spans="1:26" ht="15.75" customHeight="1" x14ac:dyDescent="0.2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spans="1:26" ht="15.75" customHeight="1" x14ac:dyDescent="0.2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spans="1:26" ht="15.75" customHeight="1" x14ac:dyDescent="0.2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spans="1:26" ht="15.75" customHeight="1" x14ac:dyDescent="0.2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spans="1:26" ht="15.75" customHeight="1" x14ac:dyDescent="0.2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spans="1:26" ht="15.75" customHeight="1" x14ac:dyDescent="0.2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spans="1:26" ht="15.75" customHeight="1" x14ac:dyDescent="0.2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spans="1:26" ht="15.75" customHeight="1" x14ac:dyDescent="0.2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spans="1:26" ht="15.75" customHeight="1" x14ac:dyDescent="0.2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spans="1:26" ht="15.75" customHeight="1" x14ac:dyDescent="0.2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spans="1:26" ht="15.75" customHeight="1" x14ac:dyDescent="0.2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spans="1:26" ht="15.75" customHeight="1" x14ac:dyDescent="0.2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spans="1:26" ht="15.75" customHeight="1" x14ac:dyDescent="0.2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spans="1:26" ht="15.75" customHeight="1" x14ac:dyDescent="0.2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spans="1:26" ht="15.75" customHeight="1" x14ac:dyDescent="0.2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spans="1:26" ht="15.75" customHeight="1" x14ac:dyDescent="0.2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spans="1:26" ht="15.75" customHeight="1" x14ac:dyDescent="0.2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spans="1:26" ht="15.75" customHeight="1" x14ac:dyDescent="0.2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spans="1:26" ht="15.75" customHeight="1" x14ac:dyDescent="0.2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spans="1:26" ht="15.75" customHeight="1" x14ac:dyDescent="0.2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spans="1:26" ht="15.75" customHeight="1" x14ac:dyDescent="0.2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spans="1:26" ht="15.75" customHeight="1" x14ac:dyDescent="0.2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spans="1:26" ht="15.75" customHeight="1" x14ac:dyDescent="0.2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spans="1:26" ht="15.75" customHeight="1" x14ac:dyDescent="0.2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spans="1:26" ht="15.75" customHeight="1" x14ac:dyDescent="0.2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spans="1:26" ht="15.75" customHeight="1" x14ac:dyDescent="0.2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spans="1:26" ht="15.75" customHeight="1" x14ac:dyDescent="0.2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spans="1:26" ht="15.75" customHeight="1" x14ac:dyDescent="0.2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spans="1:26" ht="15.75" customHeight="1" x14ac:dyDescent="0.2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spans="1:26" ht="15.75" customHeight="1" x14ac:dyDescent="0.2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spans="1:26" ht="15.75" customHeight="1" x14ac:dyDescent="0.2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spans="1:26" ht="15.75" customHeight="1" x14ac:dyDescent="0.2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spans="1:26" ht="15.75" customHeight="1" x14ac:dyDescent="0.2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spans="1:26" ht="15.75" customHeight="1" x14ac:dyDescent="0.2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spans="1:26" ht="15.75" customHeight="1" x14ac:dyDescent="0.2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spans="1:26" ht="15.75" customHeight="1" x14ac:dyDescent="0.2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spans="1:26" ht="15.75" customHeight="1" x14ac:dyDescent="0.2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spans="1:26" ht="15.75" customHeight="1" x14ac:dyDescent="0.2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spans="1:26" ht="15.75" customHeight="1" x14ac:dyDescent="0.2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spans="1:26" ht="15.75" customHeight="1" x14ac:dyDescent="0.2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spans="1:26" ht="15.75" customHeight="1" x14ac:dyDescent="0.2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spans="1:26" ht="15.75" customHeight="1" x14ac:dyDescent="0.2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spans="1:26" ht="15.75" customHeight="1" x14ac:dyDescent="0.2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spans="1:26" ht="15.75" customHeight="1" x14ac:dyDescent="0.2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spans="1:26" ht="15.75" customHeight="1" x14ac:dyDescent="0.2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spans="1:26" ht="15.75" customHeight="1" x14ac:dyDescent="0.2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spans="1:26" ht="15.75" customHeight="1" x14ac:dyDescent="0.2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spans="1:26" ht="15.75" customHeight="1" x14ac:dyDescent="0.2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spans="1:26" ht="15.75" customHeight="1" x14ac:dyDescent="0.2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spans="1:26" ht="15.75" customHeight="1" x14ac:dyDescent="0.2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spans="1:26" ht="15.75" customHeight="1" x14ac:dyDescent="0.2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spans="1:26" ht="15.75" customHeight="1" x14ac:dyDescent="0.2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spans="1:26" ht="15.75" customHeight="1" x14ac:dyDescent="0.2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spans="1:26" ht="15.75" customHeight="1" x14ac:dyDescent="0.2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spans="1:26" ht="15.75" customHeight="1" x14ac:dyDescent="0.2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spans="1:26" ht="15.75" customHeight="1" x14ac:dyDescent="0.2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spans="1:26" ht="15.75" customHeight="1" x14ac:dyDescent="0.2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spans="1:26" ht="15.75" customHeight="1" x14ac:dyDescent="0.2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spans="1:26" ht="15.75" customHeight="1" x14ac:dyDescent="0.2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spans="1:26" ht="15.75" customHeight="1" x14ac:dyDescent="0.2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spans="1:26" ht="15.75" customHeight="1" x14ac:dyDescent="0.2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spans="1:26" ht="15.75" customHeight="1" x14ac:dyDescent="0.2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spans="1:26" ht="15.75" customHeight="1" x14ac:dyDescent="0.2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spans="1:26" ht="15.75" customHeight="1" x14ac:dyDescent="0.2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spans="1:26" ht="15.75" customHeight="1" x14ac:dyDescent="0.2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spans="1:26" ht="15.75" customHeight="1" x14ac:dyDescent="0.2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spans="1:26" ht="15.75" customHeight="1" x14ac:dyDescent="0.2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spans="1:26" ht="15.75" customHeight="1" x14ac:dyDescent="0.2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spans="1:26" ht="15.75" customHeight="1" x14ac:dyDescent="0.2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spans="1:26" ht="15.75" customHeight="1" x14ac:dyDescent="0.2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spans="1:26" ht="15.75" customHeight="1" x14ac:dyDescent="0.2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spans="1:26" ht="15.75" customHeight="1" x14ac:dyDescent="0.2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spans="1:26" ht="15.75" customHeight="1" x14ac:dyDescent="0.2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spans="1:26" ht="15.75" customHeight="1" x14ac:dyDescent="0.2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spans="1:26" ht="15.75" customHeight="1" x14ac:dyDescent="0.2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spans="1:26" ht="15.75" customHeight="1" x14ac:dyDescent="0.2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spans="1:26" ht="15.75" customHeight="1" x14ac:dyDescent="0.2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spans="1:26" ht="15.75" customHeight="1" x14ac:dyDescent="0.2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spans="1:26" ht="15.75" customHeight="1" x14ac:dyDescent="0.2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spans="1:26" ht="15.75" customHeight="1" x14ac:dyDescent="0.2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spans="1:26" ht="15.75" customHeight="1" x14ac:dyDescent="0.2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spans="1:26" ht="15.75" customHeight="1" x14ac:dyDescent="0.2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spans="1:26" ht="15.75" customHeight="1" x14ac:dyDescent="0.2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spans="1:26" ht="15.75" customHeight="1" x14ac:dyDescent="0.2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spans="1:26" ht="15.75" customHeight="1" x14ac:dyDescent="0.2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spans="1:26" ht="15.75" customHeight="1" x14ac:dyDescent="0.2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spans="1:26" ht="15.75" customHeight="1" x14ac:dyDescent="0.2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spans="1:26" ht="15.75" customHeight="1" x14ac:dyDescent="0.2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spans="1:26" ht="15.75" customHeight="1" x14ac:dyDescent="0.2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spans="1:26" ht="15.75" customHeight="1" x14ac:dyDescent="0.2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spans="1:26" ht="15.75" customHeight="1" x14ac:dyDescent="0.2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spans="1:26" ht="15.75" customHeight="1" x14ac:dyDescent="0.2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spans="1:26" ht="15.75" customHeight="1" x14ac:dyDescent="0.2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spans="1:26" ht="15.75" customHeight="1" x14ac:dyDescent="0.2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spans="1:26" ht="15.75" customHeight="1" x14ac:dyDescent="0.2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spans="1:26" ht="15.75" customHeight="1" x14ac:dyDescent="0.2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spans="1:26" ht="15.75" customHeight="1" x14ac:dyDescent="0.2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spans="1:26" ht="15.75" customHeight="1" x14ac:dyDescent="0.2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spans="1:26" ht="15.75" customHeight="1" x14ac:dyDescent="0.2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spans="1:26" ht="15.75" customHeight="1" x14ac:dyDescent="0.2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spans="1:26" ht="15.75" customHeight="1" x14ac:dyDescent="0.2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spans="1:26" ht="15.75" customHeight="1" x14ac:dyDescent="0.2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spans="1:26" ht="15.75" customHeight="1" x14ac:dyDescent="0.2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spans="1:26" ht="15.75" customHeight="1" x14ac:dyDescent="0.2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spans="1:26" ht="15.75" customHeight="1" x14ac:dyDescent="0.2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spans="1:26" ht="15.75" customHeight="1" x14ac:dyDescent="0.2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spans="1:26" ht="15.75" customHeight="1" x14ac:dyDescent="0.2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spans="1:26" ht="15.75" customHeight="1" x14ac:dyDescent="0.2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spans="1:26" ht="15.75" customHeight="1" x14ac:dyDescent="0.2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spans="1:26" ht="15.75" customHeight="1" x14ac:dyDescent="0.2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spans="1:26" ht="15.75" customHeight="1" x14ac:dyDescent="0.2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spans="1:26" ht="15.75" customHeight="1" x14ac:dyDescent="0.2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spans="1:26" ht="15.75" customHeight="1" x14ac:dyDescent="0.2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spans="1:26" ht="15.75" customHeight="1" x14ac:dyDescent="0.2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spans="1:26" ht="15.75" customHeight="1" x14ac:dyDescent="0.2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spans="1:26" ht="15.75" customHeight="1" x14ac:dyDescent="0.2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spans="1:26" ht="15.75" customHeight="1" x14ac:dyDescent="0.2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spans="1:26" ht="15.75" customHeight="1" x14ac:dyDescent="0.2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spans="1:26" ht="15.75" customHeight="1" x14ac:dyDescent="0.2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spans="1:26" ht="15.75" customHeight="1" x14ac:dyDescent="0.2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spans="1:26" ht="15.75" customHeight="1" x14ac:dyDescent="0.2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spans="1:26" ht="15.75" customHeight="1" x14ac:dyDescent="0.2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spans="1:26" ht="15.75" customHeight="1" x14ac:dyDescent="0.2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spans="1:26" ht="15.75" customHeight="1" x14ac:dyDescent="0.2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spans="1:26" ht="15.75" customHeight="1" x14ac:dyDescent="0.2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spans="1:26" ht="15.75" customHeight="1" x14ac:dyDescent="0.2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spans="1:26" ht="15.75" customHeight="1" x14ac:dyDescent="0.2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spans="1:26" ht="15.75" customHeight="1" x14ac:dyDescent="0.2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spans="1:26" ht="15.75" customHeight="1" x14ac:dyDescent="0.2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spans="1:26" ht="15.75" customHeight="1" x14ac:dyDescent="0.2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spans="1:26" ht="15.75" customHeight="1" x14ac:dyDescent="0.2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spans="1:26" ht="15.75" customHeight="1" x14ac:dyDescent="0.2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spans="1:26" ht="15.75" customHeight="1" x14ac:dyDescent="0.2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spans="1:26" ht="15.75" customHeight="1" x14ac:dyDescent="0.2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spans="1:26" ht="15.75" customHeight="1" x14ac:dyDescent="0.2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spans="1:26" ht="15.75" customHeight="1" x14ac:dyDescent="0.2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spans="1:26" ht="15.75" customHeight="1" x14ac:dyDescent="0.2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spans="1:26" ht="15.75" customHeight="1" x14ac:dyDescent="0.2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spans="1:26" ht="15.75" customHeight="1" x14ac:dyDescent="0.2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spans="1:26" ht="15.75" customHeight="1" x14ac:dyDescent="0.2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spans="1:26" ht="15.75" customHeight="1" x14ac:dyDescent="0.2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spans="1:26" ht="15.75" customHeight="1" x14ac:dyDescent="0.2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spans="1:26" ht="15.75" customHeight="1" x14ac:dyDescent="0.2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spans="1:26" ht="15.75" customHeight="1" x14ac:dyDescent="0.2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spans="1:26" ht="15.75" customHeight="1" x14ac:dyDescent="0.2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spans="1:26" ht="15.75" customHeight="1" x14ac:dyDescent="0.2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spans="1:26" ht="15.75" customHeight="1" x14ac:dyDescent="0.2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spans="1:26" ht="15.75" customHeight="1" x14ac:dyDescent="0.2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spans="1:26" ht="15.75" customHeight="1" x14ac:dyDescent="0.2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spans="1:26" ht="15.75" customHeight="1" x14ac:dyDescent="0.2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spans="1:26" ht="15.75" customHeight="1" x14ac:dyDescent="0.2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spans="1:26" ht="15.75" customHeight="1" x14ac:dyDescent="0.2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spans="1:26" ht="15.75" customHeight="1" x14ac:dyDescent="0.2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6" ht="15.75" customHeight="1" x14ac:dyDescent="0.2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ht="15.75" customHeight="1" x14ac:dyDescent="0.2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ht="15.75" customHeight="1" x14ac:dyDescent="0.2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spans="1:26" ht="15.75" customHeight="1" x14ac:dyDescent="0.2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spans="1:26" ht="15.75" customHeight="1" x14ac:dyDescent="0.2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spans="1:26" ht="15.75" customHeight="1" x14ac:dyDescent="0.2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spans="1:26" ht="15.75" customHeight="1" x14ac:dyDescent="0.2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spans="1:26" ht="15.75" customHeight="1" x14ac:dyDescent="0.2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spans="1:26" ht="15.75" customHeight="1" x14ac:dyDescent="0.2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spans="1:26" ht="15.75" customHeight="1" x14ac:dyDescent="0.2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spans="1:26" ht="15.75" customHeight="1" x14ac:dyDescent="0.2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spans="1:26" ht="15.75" customHeight="1" x14ac:dyDescent="0.2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spans="1:26" ht="15.75" customHeight="1" x14ac:dyDescent="0.2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spans="1:26" ht="15.75" customHeight="1" x14ac:dyDescent="0.2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spans="1:26" ht="15.75" customHeight="1" x14ac:dyDescent="0.2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spans="1:26" ht="15.75" customHeight="1" x14ac:dyDescent="0.2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spans="1:26" ht="15.75" customHeight="1" x14ac:dyDescent="0.2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spans="1:26" ht="15.75" customHeight="1" x14ac:dyDescent="0.2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spans="1:26" ht="15.75" customHeight="1" x14ac:dyDescent="0.2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spans="1:26" ht="15.75" customHeight="1" x14ac:dyDescent="0.2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spans="1:26" ht="15.75" customHeight="1" x14ac:dyDescent="0.2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spans="1:26" ht="15.75" customHeight="1" x14ac:dyDescent="0.2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spans="1:26" ht="15.75" customHeight="1" x14ac:dyDescent="0.2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spans="1:26" ht="15.75" customHeight="1" x14ac:dyDescent="0.2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spans="1:26" ht="15.75" customHeight="1" x14ac:dyDescent="0.2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spans="1:26" ht="15.75" customHeight="1" x14ac:dyDescent="0.2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spans="1:26" ht="15.75" customHeight="1" x14ac:dyDescent="0.2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spans="1:26" ht="15.75" customHeight="1" x14ac:dyDescent="0.2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spans="1:26" ht="15.75" customHeight="1" x14ac:dyDescent="0.2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spans="1:26" ht="15.75" customHeight="1" x14ac:dyDescent="0.2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spans="1:26" ht="15.75" customHeight="1" x14ac:dyDescent="0.2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spans="1:26" ht="15.75" customHeight="1" x14ac:dyDescent="0.2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spans="1:26" ht="15.75" customHeight="1" x14ac:dyDescent="0.2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spans="1:26" ht="15.75" customHeight="1" x14ac:dyDescent="0.2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spans="1:26" ht="15.75" customHeight="1" x14ac:dyDescent="0.2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spans="1:26" ht="15.75" customHeight="1" x14ac:dyDescent="0.2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spans="1:26" ht="15.75" customHeight="1" x14ac:dyDescent="0.2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spans="1:26" ht="15.75" customHeight="1" x14ac:dyDescent="0.2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spans="1:26" ht="15.75" customHeight="1" x14ac:dyDescent="0.2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spans="1:26" ht="15.75" customHeight="1" x14ac:dyDescent="0.2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spans="1:26" ht="15.75" customHeight="1" x14ac:dyDescent="0.2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spans="1:26" ht="15.75" customHeight="1" x14ac:dyDescent="0.2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spans="1:26" ht="15.75" customHeight="1" x14ac:dyDescent="0.2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spans="1:26" ht="15.75" customHeight="1" x14ac:dyDescent="0.2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spans="1:26" ht="15.75" customHeight="1" x14ac:dyDescent="0.2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spans="1:26" ht="15.75" customHeight="1" x14ac:dyDescent="0.2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spans="1:26" ht="15.75" customHeight="1" x14ac:dyDescent="0.2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spans="1:26" ht="15.75" customHeight="1" x14ac:dyDescent="0.2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spans="1:26" ht="15.75" customHeight="1" x14ac:dyDescent="0.2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spans="1:26" ht="15.75" customHeight="1" x14ac:dyDescent="0.2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spans="1:26" ht="15.75" customHeight="1" x14ac:dyDescent="0.2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spans="1:26" ht="15.75" customHeight="1" x14ac:dyDescent="0.2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spans="1:26" ht="15.75" customHeight="1" x14ac:dyDescent="0.2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spans="1:26" ht="15.75" customHeight="1" x14ac:dyDescent="0.2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spans="1:26" ht="15.75" customHeight="1" x14ac:dyDescent="0.2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spans="1:26" ht="15.75" customHeight="1" x14ac:dyDescent="0.2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spans="1:26" ht="15.75" customHeight="1" x14ac:dyDescent="0.2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spans="1:26" ht="15.75" customHeight="1" x14ac:dyDescent="0.2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spans="1:26" ht="15.75" customHeight="1" x14ac:dyDescent="0.2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spans="1:26" ht="15.75" customHeight="1" x14ac:dyDescent="0.2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spans="1:26" ht="15.75" customHeight="1" x14ac:dyDescent="0.2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spans="1:26" ht="15.75" customHeight="1" x14ac:dyDescent="0.2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spans="1:26" ht="15.75" customHeight="1" x14ac:dyDescent="0.2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spans="1:26" ht="15.75" customHeight="1" x14ac:dyDescent="0.2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spans="1:26" ht="15.75" customHeight="1" x14ac:dyDescent="0.2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spans="1:26" ht="15.75" customHeight="1" x14ac:dyDescent="0.2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spans="1:26" ht="15.75" customHeight="1" x14ac:dyDescent="0.2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spans="1:26" ht="15.75" customHeight="1" x14ac:dyDescent="0.2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spans="1:26" ht="15.75" customHeight="1" x14ac:dyDescent="0.2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spans="1:26" ht="15.75" customHeight="1" x14ac:dyDescent="0.2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spans="1:26" ht="15.75" customHeight="1" x14ac:dyDescent="0.2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spans="1:26" ht="15.75" customHeight="1" x14ac:dyDescent="0.2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spans="1:26" ht="15.75" customHeight="1" x14ac:dyDescent="0.2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spans="1:26" ht="15.75" customHeight="1" x14ac:dyDescent="0.2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spans="1:26" ht="15.75" customHeight="1" x14ac:dyDescent="0.2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spans="1:26" ht="15.75" customHeight="1" x14ac:dyDescent="0.2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spans="1:26" ht="15.75" customHeight="1" x14ac:dyDescent="0.2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spans="1:26" ht="15.75" customHeight="1" x14ac:dyDescent="0.2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spans="1:26" ht="15.75" customHeight="1" x14ac:dyDescent="0.2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spans="1:26" ht="15.75" customHeight="1" x14ac:dyDescent="0.2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spans="1:26" ht="15.75" customHeight="1" x14ac:dyDescent="0.2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spans="1:26" ht="15.75" customHeight="1" x14ac:dyDescent="0.2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spans="1:26" ht="15.75" customHeight="1" x14ac:dyDescent="0.2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spans="1:26" ht="15.75" customHeight="1" x14ac:dyDescent="0.2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spans="1:26" ht="15.75" customHeight="1" x14ac:dyDescent="0.2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spans="1:26" ht="15.75" customHeight="1" x14ac:dyDescent="0.2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spans="1:26" ht="15.75" customHeight="1" x14ac:dyDescent="0.2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spans="1:26" ht="15.75" customHeight="1" x14ac:dyDescent="0.2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spans="1:26" ht="15.75" customHeight="1" x14ac:dyDescent="0.2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spans="1:26" ht="15.75" customHeight="1" x14ac:dyDescent="0.2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spans="1:26" ht="15.75" customHeight="1" x14ac:dyDescent="0.2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spans="1:26" ht="15.75" customHeight="1" x14ac:dyDescent="0.2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spans="1:26" ht="15.75" customHeight="1" x14ac:dyDescent="0.2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spans="1:26" ht="15.75" customHeight="1" x14ac:dyDescent="0.2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spans="1:26" ht="15.75" customHeight="1" x14ac:dyDescent="0.2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spans="1:26" ht="15.75" customHeight="1" x14ac:dyDescent="0.2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spans="1:26" ht="15.75" customHeight="1" x14ac:dyDescent="0.2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spans="1:26" ht="15.75" customHeight="1" x14ac:dyDescent="0.2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spans="1:26" ht="15.75" customHeight="1" x14ac:dyDescent="0.2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spans="1:26" ht="15.75" customHeight="1" x14ac:dyDescent="0.2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spans="1:26" ht="15.75" customHeight="1" x14ac:dyDescent="0.2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spans="1:26" ht="15.75" customHeight="1" x14ac:dyDescent="0.2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spans="1:26" ht="15.75" customHeight="1" x14ac:dyDescent="0.2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spans="1:26" ht="15.75" customHeight="1" x14ac:dyDescent="0.2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spans="1:26" ht="15.75" customHeight="1" x14ac:dyDescent="0.2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spans="1:26" ht="15.75" customHeight="1" x14ac:dyDescent="0.2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spans="1:26" ht="15.75" customHeight="1" x14ac:dyDescent="0.2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spans="1:26" ht="15.75" customHeight="1" x14ac:dyDescent="0.2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spans="1:26" ht="15.75" customHeight="1" x14ac:dyDescent="0.2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spans="1:26" ht="15.75" customHeight="1" x14ac:dyDescent="0.2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spans="1:26" ht="15.75" customHeight="1" x14ac:dyDescent="0.2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spans="1:26" ht="15.75" customHeight="1" x14ac:dyDescent="0.2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spans="1:26" ht="15.75" customHeight="1" x14ac:dyDescent="0.2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spans="1:26" ht="15.75" customHeight="1" x14ac:dyDescent="0.2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spans="1:26" ht="15.75" customHeight="1" x14ac:dyDescent="0.2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spans="1:26" ht="15.75" customHeight="1" x14ac:dyDescent="0.2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spans="1:26" ht="15.75" customHeight="1" x14ac:dyDescent="0.2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spans="1:26" ht="15.75" customHeight="1" x14ac:dyDescent="0.2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spans="1:26" ht="15.75" customHeight="1" x14ac:dyDescent="0.2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spans="1:26" ht="15.75" customHeight="1" x14ac:dyDescent="0.2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spans="1:26" ht="15.75" customHeight="1" x14ac:dyDescent="0.2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spans="1:26" ht="15.75" customHeight="1" x14ac:dyDescent="0.2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spans="1:26" ht="15.75" customHeight="1" x14ac:dyDescent="0.2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spans="1:26" ht="15.75" customHeight="1" x14ac:dyDescent="0.2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spans="1:26" ht="15.75" customHeight="1" x14ac:dyDescent="0.2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spans="1:26" ht="15.75" customHeight="1" x14ac:dyDescent="0.2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spans="1:26" ht="15.75" customHeight="1" x14ac:dyDescent="0.2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spans="1:26" ht="15.75" customHeight="1" x14ac:dyDescent="0.2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spans="1:26" ht="15.75" customHeight="1" x14ac:dyDescent="0.2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spans="1:26" ht="15.75" customHeight="1" x14ac:dyDescent="0.2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spans="1:26" ht="15.75" customHeight="1" x14ac:dyDescent="0.2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spans="1:26" ht="15.75" customHeight="1" x14ac:dyDescent="0.2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spans="1:26" ht="15.75" customHeight="1" x14ac:dyDescent="0.2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spans="1:26" ht="15.75" customHeight="1" x14ac:dyDescent="0.2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spans="1:26" ht="15.75" customHeight="1" x14ac:dyDescent="0.2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spans="1:26" ht="15.75" customHeight="1" x14ac:dyDescent="0.2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spans="1:26" ht="15.75" customHeight="1" x14ac:dyDescent="0.2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spans="1:26" ht="15.75" customHeight="1" x14ac:dyDescent="0.2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spans="1:26" ht="15.75" customHeight="1" x14ac:dyDescent="0.2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spans="1:26" ht="15.75" customHeight="1" x14ac:dyDescent="0.2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spans="1:26" ht="15.75" customHeight="1" x14ac:dyDescent="0.2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spans="1:26" ht="15.75" customHeight="1" x14ac:dyDescent="0.2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spans="1:26" ht="15.75" customHeight="1" x14ac:dyDescent="0.2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spans="1:26" ht="15.75" customHeight="1" x14ac:dyDescent="0.2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spans="1:26" ht="15.75" customHeight="1" x14ac:dyDescent="0.2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spans="1:26" ht="15.75" customHeight="1" x14ac:dyDescent="0.2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spans="1:26" ht="15.75" customHeight="1" x14ac:dyDescent="0.2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spans="1:26" ht="15.75" customHeight="1" x14ac:dyDescent="0.2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spans="1:26" ht="15.75" customHeight="1" x14ac:dyDescent="0.2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spans="1:26" ht="15.75" customHeight="1" x14ac:dyDescent="0.2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spans="1:26" ht="15.75" customHeight="1" x14ac:dyDescent="0.2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spans="1:26" ht="15.75" customHeight="1" x14ac:dyDescent="0.2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spans="1:26" ht="15.75" customHeight="1" x14ac:dyDescent="0.2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spans="1:26" ht="15.75" customHeight="1" x14ac:dyDescent="0.2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spans="1:26" ht="15.75" customHeight="1" x14ac:dyDescent="0.2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spans="1:26" ht="15.75" customHeight="1" x14ac:dyDescent="0.2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spans="1:26" ht="15.75" customHeight="1" x14ac:dyDescent="0.2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spans="1:26" ht="15.75" customHeight="1" x14ac:dyDescent="0.2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spans="1:26" ht="15.75" customHeight="1" x14ac:dyDescent="0.2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spans="1:26" ht="15.75" customHeight="1" x14ac:dyDescent="0.2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spans="1:26" ht="15.75" customHeight="1" x14ac:dyDescent="0.2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spans="1:26" ht="15.75" customHeight="1" x14ac:dyDescent="0.2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spans="1:26" ht="15.75" customHeight="1" x14ac:dyDescent="0.2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spans="1:26" ht="15.75" customHeight="1" x14ac:dyDescent="0.2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spans="1:26" ht="15.75" customHeight="1" x14ac:dyDescent="0.2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spans="1:26" ht="15.75" customHeight="1" x14ac:dyDescent="0.2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spans="1:26" ht="15.75" customHeight="1" x14ac:dyDescent="0.2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spans="1:26" ht="15.75" customHeight="1" x14ac:dyDescent="0.2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spans="1:26" ht="15.75" customHeight="1" x14ac:dyDescent="0.2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spans="1:26" ht="15.75" customHeight="1" x14ac:dyDescent="0.2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spans="1:26" ht="15.75" customHeight="1" x14ac:dyDescent="0.2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spans="1:26" ht="15.75" customHeight="1" x14ac:dyDescent="0.2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spans="1:26" ht="15.75" customHeight="1" x14ac:dyDescent="0.2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spans="1:26" ht="15.75" customHeight="1" x14ac:dyDescent="0.2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spans="1:26" ht="15.75" customHeight="1" x14ac:dyDescent="0.2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spans="1:26" ht="15.75" customHeight="1" x14ac:dyDescent="0.2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spans="1:26" ht="15.75" customHeight="1" x14ac:dyDescent="0.2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spans="1:26" ht="15.75" customHeight="1" x14ac:dyDescent="0.2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spans="1:26" ht="15.75" customHeight="1" x14ac:dyDescent="0.2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spans="1:26" ht="15.75" customHeight="1" x14ac:dyDescent="0.2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spans="1:26" ht="15.75" customHeight="1" x14ac:dyDescent="0.2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spans="1:26" ht="15.75" customHeight="1" x14ac:dyDescent="0.2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spans="1:26" ht="15.75" customHeight="1" x14ac:dyDescent="0.2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spans="1:26" ht="15.75" customHeight="1" x14ac:dyDescent="0.2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spans="1:26" ht="15.75" customHeight="1" x14ac:dyDescent="0.2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spans="1:26" ht="15.75" customHeight="1" x14ac:dyDescent="0.2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spans="1:26" ht="15.75" customHeight="1" x14ac:dyDescent="0.2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spans="1:26" ht="15.75" customHeight="1" x14ac:dyDescent="0.2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spans="1:26" ht="15.75" customHeight="1" x14ac:dyDescent="0.2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spans="1:26" ht="15.75" customHeight="1" x14ac:dyDescent="0.2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spans="1:26" ht="15.75" customHeight="1" x14ac:dyDescent="0.2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spans="1:26" ht="15.75" customHeight="1" x14ac:dyDescent="0.2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spans="1:26" ht="15.75" customHeight="1" x14ac:dyDescent="0.2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spans="1:26" ht="15.75" customHeight="1" x14ac:dyDescent="0.2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spans="1:26" ht="15.75" customHeight="1" x14ac:dyDescent="0.2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spans="1:26" ht="15.75" customHeight="1" x14ac:dyDescent="0.2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spans="1:26" ht="15.75" customHeight="1" x14ac:dyDescent="0.2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spans="1:26" ht="15.75" customHeight="1" x14ac:dyDescent="0.2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spans="1:26" ht="15.75" customHeight="1" x14ac:dyDescent="0.2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spans="1:26" ht="15.75" customHeight="1" x14ac:dyDescent="0.2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spans="1:26" ht="15.75" customHeight="1" x14ac:dyDescent="0.2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spans="1:26" ht="15.75" customHeight="1" x14ac:dyDescent="0.2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spans="1:26" ht="15.75" customHeight="1" x14ac:dyDescent="0.2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spans="1:26" ht="15.75" customHeight="1" x14ac:dyDescent="0.2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spans="1:26" ht="15.75" customHeight="1" x14ac:dyDescent="0.2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spans="1:26" ht="15.75" customHeight="1" x14ac:dyDescent="0.2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spans="1:26" ht="15.75" customHeight="1" x14ac:dyDescent="0.2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spans="1:26" ht="15.75" customHeight="1" x14ac:dyDescent="0.2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spans="1:26" ht="15.75" customHeight="1" x14ac:dyDescent="0.2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spans="1:26" ht="15.75" customHeight="1" x14ac:dyDescent="0.2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spans="1:26" ht="15.75" customHeight="1" x14ac:dyDescent="0.2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spans="1:26" ht="15.75" customHeight="1" x14ac:dyDescent="0.2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spans="1:26" ht="15.75" customHeight="1" x14ac:dyDescent="0.2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spans="1:26" ht="15.75" customHeight="1" x14ac:dyDescent="0.2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spans="1:26" ht="15.75" customHeight="1" x14ac:dyDescent="0.2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spans="1:26" ht="15.75" customHeight="1" x14ac:dyDescent="0.2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spans="1:26" ht="15.75" customHeight="1" x14ac:dyDescent="0.2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spans="1:26" ht="15.75" customHeight="1" x14ac:dyDescent="0.2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spans="1:26" ht="15.75" customHeight="1" x14ac:dyDescent="0.2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spans="1:26" ht="15.75" customHeight="1" x14ac:dyDescent="0.2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spans="1:26" ht="15.75" customHeight="1" x14ac:dyDescent="0.2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spans="1:26" ht="15.75" customHeight="1" x14ac:dyDescent="0.2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spans="1:26" ht="15.75" customHeight="1" x14ac:dyDescent="0.2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spans="1:26" ht="15.75" customHeight="1" x14ac:dyDescent="0.2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spans="1:26" ht="15.75" customHeight="1" x14ac:dyDescent="0.2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spans="1:26" ht="15.75" customHeight="1" x14ac:dyDescent="0.2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spans="1:26" ht="15.75" customHeight="1" x14ac:dyDescent="0.2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spans="1:26" ht="15.75" customHeight="1" x14ac:dyDescent="0.2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spans="1:26" ht="15.75" customHeight="1" x14ac:dyDescent="0.2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spans="1:26" ht="15.75" customHeight="1" x14ac:dyDescent="0.2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spans="1:26" ht="15.75" customHeight="1" x14ac:dyDescent="0.2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spans="1:26" ht="15.75" customHeight="1" x14ac:dyDescent="0.2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spans="1:26" ht="15.75" customHeight="1" x14ac:dyDescent="0.2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spans="1:26" ht="15.75" customHeight="1" x14ac:dyDescent="0.2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spans="1:26" ht="15.75" customHeight="1" x14ac:dyDescent="0.2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spans="1:26" ht="15.75" customHeight="1" x14ac:dyDescent="0.2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spans="1:26" ht="15.75" customHeight="1" x14ac:dyDescent="0.2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spans="1:26" ht="15.75" customHeight="1" x14ac:dyDescent="0.2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spans="1:26" ht="15.75" customHeight="1" x14ac:dyDescent="0.2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spans="1:26" ht="15.75" customHeight="1" x14ac:dyDescent="0.2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spans="1:26" ht="15.75" customHeight="1" x14ac:dyDescent="0.2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spans="1:26" ht="15.75" customHeight="1" x14ac:dyDescent="0.2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spans="1:26" ht="15.75" customHeight="1" x14ac:dyDescent="0.2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spans="1:26" ht="15.75" customHeight="1" x14ac:dyDescent="0.2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spans="1:26" ht="15.75" customHeight="1" x14ac:dyDescent="0.2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spans="1:26" ht="15.75" customHeight="1" x14ac:dyDescent="0.2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spans="1:26" ht="15.75" customHeight="1" x14ac:dyDescent="0.2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spans="1:26" ht="15.75" customHeight="1" x14ac:dyDescent="0.2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spans="1:26" ht="15.75" customHeight="1" x14ac:dyDescent="0.2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spans="1:26" ht="15.75" customHeight="1" x14ac:dyDescent="0.2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spans="1:26" ht="15.75" customHeight="1" x14ac:dyDescent="0.2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spans="1:26" ht="15.75" customHeight="1" x14ac:dyDescent="0.2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spans="1:26" ht="15.75" customHeight="1" x14ac:dyDescent="0.2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spans="1:26" ht="15.75" customHeight="1" x14ac:dyDescent="0.2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spans="1:26" ht="15.75" customHeight="1" x14ac:dyDescent="0.2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spans="1:26" ht="15.75" customHeight="1" x14ac:dyDescent="0.2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spans="1:26" ht="15.75" customHeight="1" x14ac:dyDescent="0.2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spans="1:26" ht="15.75" customHeight="1" x14ac:dyDescent="0.2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spans="1:26" ht="15.75" customHeight="1" x14ac:dyDescent="0.2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spans="1:26" ht="15.75" customHeight="1" x14ac:dyDescent="0.2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spans="1:26" ht="15.75" customHeight="1" x14ac:dyDescent="0.2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spans="1:26" ht="15.75" customHeight="1" x14ac:dyDescent="0.2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spans="1:26" ht="15.75" customHeight="1" x14ac:dyDescent="0.2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spans="1:26" ht="15.75" customHeight="1" x14ac:dyDescent="0.2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spans="1:26" ht="15.75" customHeight="1" x14ac:dyDescent="0.2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spans="1:26" ht="15.75" customHeight="1" x14ac:dyDescent="0.2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spans="1:26" ht="15.75" customHeight="1" x14ac:dyDescent="0.2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spans="1:26" ht="15.75" customHeight="1" x14ac:dyDescent="0.2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spans="1:26" ht="15.75" customHeight="1" x14ac:dyDescent="0.2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spans="1:26" ht="15.75" customHeight="1" x14ac:dyDescent="0.2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spans="1:26" ht="15.75" customHeight="1" x14ac:dyDescent="0.2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spans="1:26" ht="15.75" customHeight="1" x14ac:dyDescent="0.2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spans="1:26" ht="15.75" customHeight="1" x14ac:dyDescent="0.2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spans="1:26" ht="15.75" customHeight="1" x14ac:dyDescent="0.2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</sheetData>
  <mergeCells count="20">
    <mergeCell ref="B81:C81"/>
    <mergeCell ref="B85:C85"/>
    <mergeCell ref="B47:C47"/>
    <mergeCell ref="B58:C58"/>
    <mergeCell ref="B62:C62"/>
    <mergeCell ref="B69:C69"/>
    <mergeCell ref="B73:C73"/>
    <mergeCell ref="B74:C74"/>
    <mergeCell ref="B43:C43"/>
    <mergeCell ref="B75:C75"/>
    <mergeCell ref="B79:C79"/>
    <mergeCell ref="B80:C80"/>
    <mergeCell ref="D80:O80"/>
    <mergeCell ref="D74:O74"/>
    <mergeCell ref="D10:O10"/>
    <mergeCell ref="B12:C12"/>
    <mergeCell ref="B17:C17"/>
    <mergeCell ref="Q18:R18"/>
    <mergeCell ref="Q30:R37"/>
    <mergeCell ref="B32:C32"/>
  </mergeCells>
  <printOptions horizontalCentered="1" gridLines="1"/>
  <pageMargins left="0.7" right="0.7" top="0.75" bottom="0.75" header="0" footer="0"/>
  <pageSetup paperSize="9" fitToHeight="0" pageOrder="overThenDown" orientation="landscape" cellComments="atEnd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4A86E8"/>
    <outlinePr summaryBelow="0" summaryRight="0"/>
    <pageSetUpPr fitToPage="1"/>
  </sheetPr>
  <dimension ref="A1:AX1130"/>
  <sheetViews>
    <sheetView workbookViewId="0">
      <pane xSplit="3" ySplit="13" topLeftCell="D14" activePane="bottomRight" state="frozen"/>
      <selection pane="topRight" activeCell="D1" sqref="D1"/>
      <selection pane="bottomLeft" activeCell="A14" sqref="A14"/>
      <selection pane="bottomRight" activeCell="D14" sqref="D14"/>
    </sheetView>
  </sheetViews>
  <sheetFormatPr defaultColWidth="12.5703125" defaultRowHeight="15" customHeight="1" outlineLevelRow="1" x14ac:dyDescent="0.2"/>
  <cols>
    <col min="1" max="1" width="9.7109375" hidden="1" customWidth="1"/>
    <col min="2" max="2" width="39.42578125" customWidth="1"/>
    <col min="3" max="3" width="11.140625" customWidth="1"/>
    <col min="4" max="5" width="10.140625" customWidth="1"/>
    <col min="6" max="6" width="9.42578125" customWidth="1"/>
    <col min="7" max="39" width="10.140625" customWidth="1"/>
    <col min="40" max="40" width="12.28515625" hidden="1" customWidth="1"/>
  </cols>
  <sheetData>
    <row r="1" spans="1:50" ht="15.75" customHeight="1" collapsed="1" x14ac:dyDescent="0.2">
      <c r="A1" s="1"/>
      <c r="B1" s="476" t="s">
        <v>0</v>
      </c>
      <c r="C1" s="477"/>
      <c r="D1" s="2"/>
      <c r="E1" s="3" t="s">
        <v>1</v>
      </c>
      <c r="F1" s="3" t="s">
        <v>2</v>
      </c>
      <c r="G1" s="4"/>
      <c r="H1" s="5"/>
      <c r="I1" s="5"/>
      <c r="J1" s="5"/>
      <c r="K1" s="5"/>
      <c r="L1" s="5"/>
      <c r="M1" s="5"/>
      <c r="N1" s="5"/>
      <c r="O1" s="264"/>
      <c r="P1" s="478"/>
      <c r="Q1" s="477"/>
      <c r="R1" s="477"/>
      <c r="S1" s="477"/>
      <c r="T1" s="477"/>
      <c r="U1" s="477"/>
      <c r="V1" s="477"/>
      <c r="W1" s="477"/>
      <c r="X1" s="477"/>
      <c r="Y1" s="477"/>
      <c r="Z1" s="477"/>
      <c r="AA1" s="477"/>
      <c r="AB1" s="478"/>
      <c r="AC1" s="477"/>
      <c r="AD1" s="477"/>
      <c r="AE1" s="477"/>
      <c r="AF1" s="477"/>
      <c r="AG1" s="477"/>
      <c r="AH1" s="477"/>
      <c r="AI1" s="477"/>
      <c r="AJ1" s="477"/>
      <c r="AK1" s="477"/>
      <c r="AL1" s="477"/>
      <c r="AM1" s="477"/>
      <c r="AN1" s="8"/>
      <c r="AO1" s="9"/>
      <c r="AP1" s="9"/>
      <c r="AQ1" s="9"/>
      <c r="AR1" s="9"/>
      <c r="AS1" s="9"/>
      <c r="AT1" s="9"/>
      <c r="AU1" s="9"/>
      <c r="AV1" s="9"/>
      <c r="AW1" s="9"/>
      <c r="AX1" s="9"/>
    </row>
    <row r="2" spans="1:50" ht="15.75" hidden="1" customHeight="1" outlineLevel="1" x14ac:dyDescent="0.2">
      <c r="A2" s="1"/>
      <c r="B2" s="11" t="s">
        <v>3</v>
      </c>
      <c r="C2" s="12">
        <f>SUM(D10:O10)</f>
        <v>42280284.363509752</v>
      </c>
      <c r="D2" s="13">
        <v>52783446.081539989</v>
      </c>
      <c r="E2" s="14">
        <f t="shared" ref="E2:E4" si="0">C2-D2</f>
        <v>-10503161.718030237</v>
      </c>
      <c r="F2" s="15">
        <f>IFERROR(E2/D2,0)</f>
        <v>-0.19898590368285027</v>
      </c>
      <c r="G2" s="4"/>
      <c r="H2" s="5"/>
      <c r="I2" s="5"/>
      <c r="J2" s="5"/>
      <c r="K2" s="5"/>
      <c r="L2" s="5"/>
      <c r="M2" s="5"/>
      <c r="N2" s="5"/>
      <c r="O2" s="265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265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7"/>
      <c r="AO2" s="9"/>
      <c r="AP2" s="9"/>
      <c r="AQ2" s="9"/>
      <c r="AR2" s="9"/>
      <c r="AS2" s="9"/>
      <c r="AT2" s="9"/>
      <c r="AU2" s="9"/>
      <c r="AV2" s="9"/>
      <c r="AW2" s="9"/>
      <c r="AX2" s="9"/>
    </row>
    <row r="3" spans="1:50" ht="15.75" hidden="1" customHeight="1" outlineLevel="1" x14ac:dyDescent="0.2">
      <c r="A3" s="1"/>
      <c r="B3" s="11" t="s">
        <v>4</v>
      </c>
      <c r="C3" s="12">
        <f>O146</f>
        <v>5716290.2507705409</v>
      </c>
      <c r="D3" s="13">
        <v>4707194.190729497</v>
      </c>
      <c r="E3" s="14">
        <f t="shared" si="0"/>
        <v>1009096.0600410439</v>
      </c>
      <c r="F3" s="15">
        <f t="shared" ref="F3:F4" si="1">E3/D3</f>
        <v>0.21437315291312836</v>
      </c>
      <c r="G3" s="4"/>
      <c r="H3" s="5"/>
      <c r="I3" s="5"/>
      <c r="J3" s="5"/>
      <c r="K3" s="5"/>
      <c r="L3" s="5"/>
      <c r="M3" s="5"/>
      <c r="N3" s="5"/>
      <c r="O3" s="265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265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8"/>
      <c r="AO3" s="9"/>
      <c r="AP3" s="9"/>
      <c r="AQ3" s="9"/>
      <c r="AR3" s="9"/>
      <c r="AS3" s="9"/>
      <c r="AT3" s="9"/>
      <c r="AU3" s="9"/>
      <c r="AV3" s="9"/>
      <c r="AW3" s="9"/>
      <c r="AX3" s="9"/>
    </row>
    <row r="4" spans="1:50" ht="15.75" hidden="1" customHeight="1" outlineLevel="1" x14ac:dyDescent="0.2">
      <c r="A4" s="18"/>
      <c r="B4" s="11" t="s">
        <v>5</v>
      </c>
      <c r="C4" s="12">
        <f>O369</f>
        <v>0</v>
      </c>
      <c r="D4" s="13">
        <v>4368597.5558276754</v>
      </c>
      <c r="E4" s="14">
        <f t="shared" si="0"/>
        <v>-4368597.5558276754</v>
      </c>
      <c r="F4" s="15">
        <f t="shared" si="1"/>
        <v>-1</v>
      </c>
      <c r="G4" s="4"/>
      <c r="H4" s="5"/>
      <c r="I4" s="5"/>
      <c r="J4" s="5"/>
      <c r="K4" s="5"/>
      <c r="L4" s="5"/>
      <c r="M4" s="5"/>
      <c r="N4" s="5"/>
      <c r="O4" s="265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265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8"/>
      <c r="AO4" s="9"/>
      <c r="AP4" s="9"/>
      <c r="AQ4" s="9"/>
      <c r="AR4" s="9"/>
      <c r="AS4" s="9"/>
      <c r="AT4" s="9"/>
      <c r="AU4" s="9"/>
      <c r="AV4" s="9"/>
      <c r="AW4" s="9"/>
      <c r="AX4" s="9"/>
    </row>
    <row r="5" spans="1:50" ht="15.75" hidden="1" customHeight="1" outlineLevel="1" x14ac:dyDescent="0.2">
      <c r="A5" s="18"/>
      <c r="B5" s="19" t="s">
        <v>6</v>
      </c>
      <c r="C5" s="4">
        <f>O381</f>
        <v>483601.84077054076</v>
      </c>
      <c r="D5" s="4"/>
      <c r="E5" s="4"/>
      <c r="F5" s="4"/>
      <c r="G5" s="4"/>
      <c r="H5" s="5"/>
      <c r="I5" s="5"/>
      <c r="J5" s="5"/>
      <c r="K5" s="5"/>
      <c r="L5" s="5"/>
      <c r="M5" s="5"/>
      <c r="N5" s="5"/>
      <c r="O5" s="265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265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8"/>
      <c r="AO5" s="9"/>
      <c r="AP5" s="9"/>
      <c r="AQ5" s="9"/>
      <c r="AR5" s="9"/>
      <c r="AS5" s="9"/>
      <c r="AT5" s="9"/>
      <c r="AU5" s="9"/>
      <c r="AV5" s="9"/>
      <c r="AW5" s="9"/>
      <c r="AX5" s="9"/>
    </row>
    <row r="6" spans="1:50" ht="15.75" hidden="1" customHeight="1" outlineLevel="1" x14ac:dyDescent="0.2">
      <c r="A6" s="1"/>
      <c r="B6" s="19" t="s">
        <v>7</v>
      </c>
      <c r="C6" s="20">
        <f t="array" aca="1" ref="C6" ca="1">C3/ AVERAGE(INDIRECT("D"&amp;MATCH("Собственный капитал",$B:$B,0)&amp;":O"&amp;MATCH("Собственный капитал",$B:$B,0)))</f>
        <v>-3.8153734137412196</v>
      </c>
      <c r="D6" s="21"/>
      <c r="E6" s="21"/>
      <c r="F6" s="21"/>
      <c r="G6" s="21"/>
      <c r="H6" s="22"/>
      <c r="I6" s="22"/>
      <c r="J6" s="22"/>
      <c r="K6" s="22"/>
      <c r="L6" s="22"/>
      <c r="M6" s="22"/>
      <c r="N6" s="22"/>
      <c r="O6" s="266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66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3"/>
      <c r="AO6" s="9"/>
      <c r="AP6" s="9"/>
      <c r="AQ6" s="9"/>
      <c r="AR6" s="9"/>
      <c r="AS6" s="9"/>
      <c r="AT6" s="9"/>
      <c r="AU6" s="9"/>
      <c r="AV6" s="9"/>
      <c r="AW6" s="9"/>
      <c r="AX6" s="9"/>
    </row>
    <row r="7" spans="1:50" ht="15.75" hidden="1" customHeight="1" outlineLevel="1" x14ac:dyDescent="0.2">
      <c r="A7" s="18"/>
      <c r="B7" s="24"/>
      <c r="C7" s="22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264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264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8"/>
      <c r="AO7" s="9"/>
      <c r="AP7" s="9"/>
      <c r="AQ7" s="9"/>
      <c r="AR7" s="9"/>
      <c r="AS7" s="9"/>
      <c r="AT7" s="9"/>
      <c r="AU7" s="9"/>
      <c r="AV7" s="9"/>
      <c r="AW7" s="9"/>
      <c r="AX7" s="9"/>
    </row>
    <row r="8" spans="1:50" ht="15.75" customHeight="1" x14ac:dyDescent="0.2">
      <c r="A8" s="25"/>
      <c r="B8" s="26" t="s">
        <v>8</v>
      </c>
      <c r="C8" s="27"/>
      <c r="D8" s="479" t="s">
        <v>9</v>
      </c>
      <c r="E8" s="477"/>
      <c r="F8" s="477"/>
      <c r="G8" s="477"/>
      <c r="H8" s="477"/>
      <c r="I8" s="477"/>
      <c r="J8" s="477"/>
      <c r="K8" s="477"/>
      <c r="L8" s="477"/>
      <c r="M8" s="477"/>
      <c r="N8" s="477"/>
      <c r="O8" s="495"/>
      <c r="P8" s="479" t="s">
        <v>10</v>
      </c>
      <c r="Q8" s="477"/>
      <c r="R8" s="477"/>
      <c r="S8" s="477"/>
      <c r="T8" s="477"/>
      <c r="U8" s="477"/>
      <c r="V8" s="477"/>
      <c r="W8" s="477"/>
      <c r="X8" s="477"/>
      <c r="Y8" s="477"/>
      <c r="Z8" s="477"/>
      <c r="AA8" s="495"/>
      <c r="AB8" s="479" t="s">
        <v>11</v>
      </c>
      <c r="AC8" s="477"/>
      <c r="AD8" s="477"/>
      <c r="AE8" s="477"/>
      <c r="AF8" s="477"/>
      <c r="AG8" s="477"/>
      <c r="AH8" s="477"/>
      <c r="AI8" s="477"/>
      <c r="AJ8" s="477"/>
      <c r="AK8" s="477"/>
      <c r="AL8" s="477"/>
      <c r="AM8" s="495"/>
      <c r="AN8" s="267"/>
      <c r="AO8" s="9"/>
      <c r="AP8" s="9"/>
      <c r="AQ8" s="9"/>
      <c r="AR8" s="9"/>
      <c r="AS8" s="9"/>
      <c r="AT8" s="9"/>
      <c r="AU8" s="9"/>
      <c r="AV8" s="9"/>
      <c r="AW8" s="9"/>
      <c r="AX8" s="9"/>
    </row>
    <row r="9" spans="1:50" ht="15.75" customHeight="1" x14ac:dyDescent="0.2">
      <c r="A9" s="25" t="s">
        <v>12</v>
      </c>
      <c r="B9" s="29" t="s">
        <v>13</v>
      </c>
      <c r="C9" s="16"/>
      <c r="D9" s="30" t="s">
        <v>232</v>
      </c>
      <c r="E9" s="30" t="s">
        <v>233</v>
      </c>
      <c r="F9" s="30" t="s">
        <v>234</v>
      </c>
      <c r="G9" s="30" t="s">
        <v>20</v>
      </c>
      <c r="H9" s="30" t="s">
        <v>21</v>
      </c>
      <c r="I9" s="30" t="s">
        <v>22</v>
      </c>
      <c r="J9" s="30" t="s">
        <v>23</v>
      </c>
      <c r="K9" s="30" t="s">
        <v>24</v>
      </c>
      <c r="L9" s="30" t="s">
        <v>25</v>
      </c>
      <c r="M9" s="30" t="s">
        <v>14</v>
      </c>
      <c r="N9" s="30" t="s">
        <v>15</v>
      </c>
      <c r="O9" s="268" t="s">
        <v>16</v>
      </c>
      <c r="P9" s="30" t="s">
        <v>17</v>
      </c>
      <c r="Q9" s="30" t="s">
        <v>18</v>
      </c>
      <c r="R9" s="30" t="s">
        <v>19</v>
      </c>
      <c r="S9" s="30" t="s">
        <v>20</v>
      </c>
      <c r="T9" s="30" t="s">
        <v>21</v>
      </c>
      <c r="U9" s="30" t="s">
        <v>22</v>
      </c>
      <c r="V9" s="30" t="s">
        <v>23</v>
      </c>
      <c r="W9" s="30" t="s">
        <v>24</v>
      </c>
      <c r="X9" s="30" t="s">
        <v>25</v>
      </c>
      <c r="Y9" s="30" t="s">
        <v>14</v>
      </c>
      <c r="Z9" s="30" t="s">
        <v>26</v>
      </c>
      <c r="AA9" s="268" t="s">
        <v>16</v>
      </c>
      <c r="AB9" s="30" t="s">
        <v>17</v>
      </c>
      <c r="AC9" s="30" t="s">
        <v>18</v>
      </c>
      <c r="AD9" s="30" t="s">
        <v>19</v>
      </c>
      <c r="AE9" s="30" t="s">
        <v>20</v>
      </c>
      <c r="AF9" s="30" t="s">
        <v>21</v>
      </c>
      <c r="AG9" s="30" t="s">
        <v>22</v>
      </c>
      <c r="AH9" s="30" t="s">
        <v>23</v>
      </c>
      <c r="AI9" s="30" t="s">
        <v>24</v>
      </c>
      <c r="AJ9" s="30" t="s">
        <v>25</v>
      </c>
      <c r="AK9" s="30" t="s">
        <v>14</v>
      </c>
      <c r="AL9" s="30" t="s">
        <v>26</v>
      </c>
      <c r="AM9" s="30" t="s">
        <v>16</v>
      </c>
      <c r="AN9" s="259" t="s">
        <v>187</v>
      </c>
      <c r="AO9" s="9"/>
      <c r="AP9" s="9"/>
      <c r="AQ9" s="9"/>
      <c r="AR9" s="9"/>
      <c r="AS9" s="9"/>
      <c r="AT9" s="9"/>
      <c r="AU9" s="9"/>
      <c r="AV9" s="9"/>
      <c r="AW9" s="9"/>
      <c r="AX9" s="9"/>
    </row>
    <row r="10" spans="1:50" ht="15.75" customHeight="1" outlineLevel="1" x14ac:dyDescent="0.2">
      <c r="A10" s="31"/>
      <c r="B10" s="32" t="s">
        <v>27</v>
      </c>
      <c r="C10" s="32"/>
      <c r="D10" s="33">
        <f t="shared" ref="D10:AM10" si="2">D15</f>
        <v>2308490</v>
      </c>
      <c r="E10" s="33">
        <f t="shared" si="2"/>
        <v>1549016</v>
      </c>
      <c r="F10" s="33">
        <f t="shared" si="2"/>
        <v>3394111</v>
      </c>
      <c r="G10" s="33">
        <f t="shared" si="2"/>
        <v>2399021</v>
      </c>
      <c r="H10" s="33">
        <f t="shared" si="2"/>
        <v>3605232.1984479316</v>
      </c>
      <c r="I10" s="33">
        <f t="shared" si="2"/>
        <v>3605232.1984479316</v>
      </c>
      <c r="J10" s="33">
        <f t="shared" si="2"/>
        <v>3605232.1984479316</v>
      </c>
      <c r="K10" s="33">
        <f t="shared" si="2"/>
        <v>3605232.1984479316</v>
      </c>
      <c r="L10" s="33">
        <f t="shared" si="2"/>
        <v>3605232.1984479316</v>
      </c>
      <c r="M10" s="33">
        <f t="shared" si="2"/>
        <v>3605232.1984479316</v>
      </c>
      <c r="N10" s="33">
        <f t="shared" si="2"/>
        <v>3802469.8278226918</v>
      </c>
      <c r="O10" s="269">
        <f t="shared" si="2"/>
        <v>7195783.3449994698</v>
      </c>
      <c r="P10" s="33">
        <f t="shared" si="2"/>
        <v>3958022.9604645232</v>
      </c>
      <c r="Q10" s="33">
        <f t="shared" si="2"/>
        <v>2379331.5720116305</v>
      </c>
      <c r="R10" s="33">
        <f t="shared" si="2"/>
        <v>4824324.8920883574</v>
      </c>
      <c r="S10" s="33">
        <f t="shared" si="2"/>
        <v>3605232.1984479316</v>
      </c>
      <c r="T10" s="33">
        <f t="shared" si="2"/>
        <v>3605232.1984479316</v>
      </c>
      <c r="U10" s="33">
        <f t="shared" si="2"/>
        <v>3605232.1984479316</v>
      </c>
      <c r="V10" s="33">
        <f t="shared" si="2"/>
        <v>3605232.1984479316</v>
      </c>
      <c r="W10" s="33">
        <f t="shared" si="2"/>
        <v>3605232.1984479316</v>
      </c>
      <c r="X10" s="33">
        <f t="shared" si="2"/>
        <v>3605232.1984479316</v>
      </c>
      <c r="Y10" s="33">
        <f t="shared" si="2"/>
        <v>3605232.1984479316</v>
      </c>
      <c r="Z10" s="33">
        <f t="shared" si="2"/>
        <v>3802469.8278226918</v>
      </c>
      <c r="AA10" s="269">
        <f t="shared" si="2"/>
        <v>7195783.3449994698</v>
      </c>
      <c r="AB10" s="33">
        <f t="shared" si="2"/>
        <v>3958022.9604645232</v>
      </c>
      <c r="AC10" s="33">
        <f t="shared" si="2"/>
        <v>2379331.5720116305</v>
      </c>
      <c r="AD10" s="33">
        <f t="shared" si="2"/>
        <v>4824324.8920883574</v>
      </c>
      <c r="AE10" s="33">
        <f t="shared" si="2"/>
        <v>3605232.1984479316</v>
      </c>
      <c r="AF10" s="33">
        <f t="shared" si="2"/>
        <v>3605232.1984479316</v>
      </c>
      <c r="AG10" s="33">
        <f t="shared" si="2"/>
        <v>3605232.1984479316</v>
      </c>
      <c r="AH10" s="33">
        <f t="shared" si="2"/>
        <v>3605232.1984479316</v>
      </c>
      <c r="AI10" s="33">
        <f t="shared" si="2"/>
        <v>3605232.1984479316</v>
      </c>
      <c r="AJ10" s="33">
        <f t="shared" si="2"/>
        <v>3605232.1984479316</v>
      </c>
      <c r="AK10" s="33">
        <f t="shared" si="2"/>
        <v>3605232.1984479316</v>
      </c>
      <c r="AL10" s="33">
        <f t="shared" si="2"/>
        <v>3802469.8278226918</v>
      </c>
      <c r="AM10" s="33">
        <f t="shared" si="2"/>
        <v>7195783.3449994698</v>
      </c>
      <c r="AN10" s="270">
        <f>SUM(D10:O10)</f>
        <v>42280284.363509752</v>
      </c>
      <c r="AO10" s="9"/>
      <c r="AP10" s="9"/>
      <c r="AQ10" s="9"/>
      <c r="AR10" s="9"/>
      <c r="AS10" s="9"/>
      <c r="AT10" s="9"/>
      <c r="AU10" s="9"/>
      <c r="AV10" s="9"/>
      <c r="AW10" s="9"/>
      <c r="AX10" s="9"/>
    </row>
    <row r="11" spans="1:50" ht="15.75" customHeight="1" outlineLevel="1" x14ac:dyDescent="0.2">
      <c r="A11" s="31"/>
      <c r="B11" s="32" t="s">
        <v>28</v>
      </c>
      <c r="C11" s="32"/>
      <c r="D11" s="33">
        <f t="shared" ref="D11:AM11" si="3">IFERROR(-(D115+D131)/D97,0)</f>
        <v>94301.432417776479</v>
      </c>
      <c r="E11" s="33">
        <f t="shared" si="3"/>
        <v>717727.27118999511</v>
      </c>
      <c r="F11" s="33">
        <f t="shared" si="3"/>
        <v>1111335.2931387122</v>
      </c>
      <c r="G11" s="33">
        <f t="shared" si="3"/>
        <v>1274208.2589088366</v>
      </c>
      <c r="H11" s="33">
        <f t="shared" si="3"/>
        <v>1222471.0928131186</v>
      </c>
      <c r="I11" s="33">
        <f t="shared" si="3"/>
        <v>1563589.3203666506</v>
      </c>
      <c r="J11" s="33">
        <f t="shared" si="3"/>
        <v>1563589.3203666506</v>
      </c>
      <c r="K11" s="33">
        <f t="shared" si="3"/>
        <v>1563589.3203666506</v>
      </c>
      <c r="L11" s="33">
        <f t="shared" si="3"/>
        <v>1563589.3203666506</v>
      </c>
      <c r="M11" s="33">
        <f t="shared" si="3"/>
        <v>1563589.3203666506</v>
      </c>
      <c r="N11" s="33">
        <f t="shared" si="3"/>
        <v>1661210.2772398209</v>
      </c>
      <c r="O11" s="269">
        <f t="shared" si="3"/>
        <v>3354375.4169474719</v>
      </c>
      <c r="P11" s="33">
        <f t="shared" si="3"/>
        <v>1751560.5670514121</v>
      </c>
      <c r="Q11" s="33">
        <f t="shared" si="3"/>
        <v>914142.04785587557</v>
      </c>
      <c r="R11" s="33">
        <f t="shared" si="3"/>
        <v>2055459.0469727116</v>
      </c>
      <c r="S11" s="33">
        <f t="shared" si="3"/>
        <v>1563589.3203666506</v>
      </c>
      <c r="T11" s="33">
        <f t="shared" si="3"/>
        <v>1563589.3203666506</v>
      </c>
      <c r="U11" s="33">
        <f t="shared" si="3"/>
        <v>1563589.3203666506</v>
      </c>
      <c r="V11" s="33">
        <f t="shared" si="3"/>
        <v>1563589.3203666506</v>
      </c>
      <c r="W11" s="33">
        <f t="shared" si="3"/>
        <v>1563589.3203666506</v>
      </c>
      <c r="X11" s="33">
        <f t="shared" si="3"/>
        <v>1563589.3203666506</v>
      </c>
      <c r="Y11" s="33">
        <f t="shared" si="3"/>
        <v>1563589.3203666506</v>
      </c>
      <c r="Z11" s="33">
        <f t="shared" si="3"/>
        <v>1661210.2772398209</v>
      </c>
      <c r="AA11" s="269">
        <f t="shared" si="3"/>
        <v>3354375.4169474719</v>
      </c>
      <c r="AB11" s="33">
        <f t="shared" si="3"/>
        <v>1751560.5670514121</v>
      </c>
      <c r="AC11" s="33">
        <f t="shared" si="3"/>
        <v>914142.04785587557</v>
      </c>
      <c r="AD11" s="33">
        <f t="shared" si="3"/>
        <v>2055459.0469727116</v>
      </c>
      <c r="AE11" s="33">
        <f t="shared" si="3"/>
        <v>1563589.3203666506</v>
      </c>
      <c r="AF11" s="33">
        <f t="shared" si="3"/>
        <v>1563589.3203666506</v>
      </c>
      <c r="AG11" s="33">
        <f t="shared" si="3"/>
        <v>1563589.3203666506</v>
      </c>
      <c r="AH11" s="33">
        <f t="shared" si="3"/>
        <v>1563589.3203666506</v>
      </c>
      <c r="AI11" s="33">
        <f t="shared" si="3"/>
        <v>1563589.3203666506</v>
      </c>
      <c r="AJ11" s="33">
        <f t="shared" si="3"/>
        <v>1563589.3203666506</v>
      </c>
      <c r="AK11" s="33">
        <f t="shared" si="3"/>
        <v>1563589.3203666506</v>
      </c>
      <c r="AL11" s="33">
        <f t="shared" si="3"/>
        <v>1661210.2772398209</v>
      </c>
      <c r="AM11" s="33">
        <f t="shared" si="3"/>
        <v>3354375.4169474719</v>
      </c>
      <c r="AN11" s="270">
        <f>IFERROR(-(AN123+#REF!)/#REF!,0)</f>
        <v>0</v>
      </c>
      <c r="AO11" s="9"/>
      <c r="AP11" s="9"/>
      <c r="AQ11" s="9"/>
      <c r="AR11" s="9"/>
      <c r="AS11" s="9"/>
      <c r="AT11" s="9"/>
      <c r="AU11" s="9"/>
      <c r="AV11" s="9"/>
      <c r="AW11" s="9"/>
      <c r="AX11" s="9"/>
    </row>
    <row r="12" spans="1:50" ht="15.75" customHeight="1" outlineLevel="1" x14ac:dyDescent="0.2">
      <c r="A12" s="31"/>
      <c r="B12" s="32" t="s">
        <v>29</v>
      </c>
      <c r="C12" s="32"/>
      <c r="D12" s="33">
        <f t="shared" ref="D12:AM12" si="4">D143</f>
        <v>333561.70200000016</v>
      </c>
      <c r="E12" s="33">
        <f t="shared" si="4"/>
        <v>-156453.92319999984</v>
      </c>
      <c r="F12" s="33">
        <f t="shared" si="4"/>
        <v>430423.15780000016</v>
      </c>
      <c r="G12" s="33">
        <f t="shared" si="4"/>
        <v>24030.257381606469</v>
      </c>
      <c r="H12" s="33">
        <f t="shared" si="4"/>
        <v>580200.38765882398</v>
      </c>
      <c r="I12" s="33">
        <f t="shared" si="4"/>
        <v>447601.78334543796</v>
      </c>
      <c r="J12" s="33">
        <f t="shared" si="4"/>
        <v>453462.91142961569</v>
      </c>
      <c r="K12" s="33">
        <f t="shared" si="4"/>
        <v>533980.25619221851</v>
      </c>
      <c r="L12" s="33">
        <f t="shared" si="4"/>
        <v>538621.00228471926</v>
      </c>
      <c r="M12" s="33">
        <f t="shared" si="4"/>
        <v>543728.15308920981</v>
      </c>
      <c r="N12" s="33">
        <f t="shared" si="4"/>
        <v>596150.74642067601</v>
      </c>
      <c r="O12" s="269">
        <f t="shared" si="4"/>
        <v>1390983.816368232</v>
      </c>
      <c r="P12" s="33">
        <f t="shared" si="4"/>
        <v>649592.27403595019</v>
      </c>
      <c r="Q12" s="33">
        <f t="shared" si="4"/>
        <v>280501.98715657601</v>
      </c>
      <c r="R12" s="33">
        <f t="shared" si="4"/>
        <v>837366.14866522572</v>
      </c>
      <c r="S12" s="33">
        <f t="shared" si="4"/>
        <v>575507.93794608547</v>
      </c>
      <c r="T12" s="33">
        <f t="shared" si="4"/>
        <v>578674.66627176688</v>
      </c>
      <c r="U12" s="33">
        <f t="shared" si="4"/>
        <v>581904.92748944194</v>
      </c>
      <c r="V12" s="33">
        <f t="shared" si="4"/>
        <v>585200.02197862871</v>
      </c>
      <c r="W12" s="33">
        <f t="shared" si="4"/>
        <v>588611.28353164601</v>
      </c>
      <c r="X12" s="33">
        <f t="shared" si="4"/>
        <v>592040.09971361095</v>
      </c>
      <c r="Y12" s="33">
        <f t="shared" si="4"/>
        <v>595537.86223227228</v>
      </c>
      <c r="Z12" s="33">
        <f t="shared" si="4"/>
        <v>647589.4801055463</v>
      </c>
      <c r="AA12" s="269">
        <f t="shared" si="4"/>
        <v>1439222.9418740305</v>
      </c>
      <c r="AB12" s="33">
        <f t="shared" si="4"/>
        <v>683738.20238506794</v>
      </c>
      <c r="AC12" s="33">
        <f t="shared" si="4"/>
        <v>312427.41305272258</v>
      </c>
      <c r="AD12" s="33">
        <f t="shared" si="4"/>
        <v>867029.57628807565</v>
      </c>
      <c r="AE12" s="33">
        <f t="shared" si="4"/>
        <v>602867.08737608325</v>
      </c>
      <c r="AF12" s="33">
        <f t="shared" si="4"/>
        <v>603686.47239145706</v>
      </c>
      <c r="AG12" s="33">
        <f t="shared" si="4"/>
        <v>604525.48884434137</v>
      </c>
      <c r="AH12" s="33">
        <f t="shared" si="4"/>
        <v>605384.6195962826</v>
      </c>
      <c r="AI12" s="33">
        <f t="shared" si="4"/>
        <v>606264.35969746427</v>
      </c>
      <c r="AJ12" s="33">
        <f t="shared" si="4"/>
        <v>607165.21670203831</v>
      </c>
      <c r="AK12" s="33">
        <f t="shared" si="4"/>
        <v>608087.7109917975</v>
      </c>
      <c r="AL12" s="33">
        <f t="shared" si="4"/>
        <v>657624.49889600987</v>
      </c>
      <c r="AM12" s="33">
        <f t="shared" si="4"/>
        <v>1449446.0868911841</v>
      </c>
      <c r="AN12" s="270">
        <f t="shared" ref="AN12:AN13" si="5">SUM(D12:O12)</f>
        <v>5716290.2507705409</v>
      </c>
      <c r="AO12" s="9"/>
      <c r="AP12" s="9"/>
      <c r="AQ12" s="9"/>
      <c r="AR12" s="9"/>
      <c r="AS12" s="9"/>
      <c r="AT12" s="9"/>
      <c r="AU12" s="9"/>
      <c r="AV12" s="9"/>
      <c r="AW12" s="9"/>
      <c r="AX12" s="9"/>
    </row>
    <row r="13" spans="1:50" ht="15.75" customHeight="1" outlineLevel="1" x14ac:dyDescent="0.2">
      <c r="A13" s="31"/>
      <c r="B13" s="32" t="s">
        <v>30</v>
      </c>
      <c r="C13" s="32"/>
      <c r="D13" s="33">
        <f t="shared" ref="D13:AM13" si="6">D367</f>
        <v>95167.741999999969</v>
      </c>
      <c r="E13" s="33">
        <f t="shared" si="6"/>
        <v>35862.220050000149</v>
      </c>
      <c r="F13" s="33">
        <f t="shared" si="6"/>
        <v>610605.55283322942</v>
      </c>
      <c r="G13" s="33">
        <f t="shared" si="6"/>
        <v>1385297.4656030724</v>
      </c>
      <c r="H13" s="33">
        <f t="shared" si="6"/>
        <v>590444.05699667661</v>
      </c>
      <c r="I13" s="33">
        <f t="shared" si="6"/>
        <v>775165.49969345715</v>
      </c>
      <c r="J13" s="33">
        <f t="shared" si="6"/>
        <v>708386.94239023759</v>
      </c>
      <c r="K13" s="33">
        <f t="shared" si="6"/>
        <v>556608.3850870179</v>
      </c>
      <c r="L13" s="33">
        <f t="shared" si="6"/>
        <v>404829.82778379822</v>
      </c>
      <c r="M13" s="33">
        <f t="shared" si="6"/>
        <v>242051.27048057865</v>
      </c>
      <c r="N13" s="33">
        <f t="shared" si="6"/>
        <v>-347230.16403504857</v>
      </c>
      <c r="O13" s="269">
        <f t="shared" si="6"/>
        <v>139322.60645841772</v>
      </c>
      <c r="P13" s="33">
        <f t="shared" si="6"/>
        <v>456596.59610064921</v>
      </c>
      <c r="Q13" s="33">
        <f t="shared" si="6"/>
        <v>86488.445863945526</v>
      </c>
      <c r="R13" s="33">
        <f t="shared" si="6"/>
        <v>277525.93536403053</v>
      </c>
      <c r="S13" s="33">
        <f t="shared" si="6"/>
        <v>200680.71139414422</v>
      </c>
      <c r="T13" s="33">
        <f t="shared" si="6"/>
        <v>123836.17742425791</v>
      </c>
      <c r="U13" s="33">
        <f t="shared" si="6"/>
        <v>46990.953454371542</v>
      </c>
      <c r="V13" s="33">
        <f t="shared" si="6"/>
        <v>-40778.270515514771</v>
      </c>
      <c r="W13" s="33">
        <f t="shared" si="6"/>
        <v>-117713.49448540108</v>
      </c>
      <c r="X13" s="33">
        <f t="shared" si="6"/>
        <v>-194648.71845528734</v>
      </c>
      <c r="Y13" s="33">
        <f t="shared" si="6"/>
        <v>-265680.53242517367</v>
      </c>
      <c r="Z13" s="33">
        <f t="shared" si="6"/>
        <v>-577325.36360746739</v>
      </c>
      <c r="AA13" s="269">
        <f t="shared" si="6"/>
        <v>630361.01021933276</v>
      </c>
      <c r="AB13" s="33">
        <f t="shared" si="6"/>
        <v>1101336.1898615642</v>
      </c>
      <c r="AC13" s="33">
        <f t="shared" si="6"/>
        <v>781528.30962486053</v>
      </c>
      <c r="AD13" s="33">
        <f t="shared" si="6"/>
        <v>1142266.0691249454</v>
      </c>
      <c r="AE13" s="33">
        <f t="shared" si="6"/>
        <v>1181721.1151550591</v>
      </c>
      <c r="AF13" s="33">
        <f t="shared" si="6"/>
        <v>1208576.1611851731</v>
      </c>
      <c r="AG13" s="33">
        <f t="shared" si="6"/>
        <v>1235431.2072152868</v>
      </c>
      <c r="AH13" s="33">
        <f t="shared" si="6"/>
        <v>1293786.2532454005</v>
      </c>
      <c r="AI13" s="33">
        <f t="shared" si="6"/>
        <v>1320641.2992755142</v>
      </c>
      <c r="AJ13" s="33">
        <f t="shared" si="6"/>
        <v>1347496.3453056279</v>
      </c>
      <c r="AK13" s="33">
        <f t="shared" si="6"/>
        <v>1374351.3913357414</v>
      </c>
      <c r="AL13" s="33">
        <f t="shared" si="6"/>
        <v>1014512.5601534476</v>
      </c>
      <c r="AM13" s="33">
        <f t="shared" si="6"/>
        <v>2048554.9339802475</v>
      </c>
      <c r="AN13" s="270">
        <f t="shared" si="5"/>
        <v>5196511.4053414371</v>
      </c>
      <c r="AO13" s="9"/>
      <c r="AP13" s="9"/>
      <c r="AQ13" s="9"/>
      <c r="AR13" s="9"/>
      <c r="AS13" s="9"/>
      <c r="AT13" s="9"/>
      <c r="AU13" s="9"/>
      <c r="AV13" s="9"/>
      <c r="AW13" s="9"/>
      <c r="AX13" s="9"/>
    </row>
    <row r="14" spans="1:50" ht="15.75" customHeight="1" outlineLevel="1" x14ac:dyDescent="0.2">
      <c r="A14" s="34"/>
      <c r="B14" s="25"/>
      <c r="C14" s="35"/>
      <c r="D14" s="35"/>
      <c r="E14" s="35"/>
      <c r="F14" s="35"/>
      <c r="G14" s="35"/>
      <c r="H14" s="35"/>
      <c r="I14" s="35"/>
      <c r="J14" s="35"/>
      <c r="K14" s="35"/>
      <c r="L14" s="35"/>
      <c r="M14" s="35"/>
      <c r="N14" s="35"/>
      <c r="O14" s="271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271"/>
      <c r="AB14" s="35"/>
      <c r="AC14" s="35"/>
      <c r="AD14" s="35"/>
      <c r="AE14" s="35"/>
      <c r="AF14" s="35"/>
      <c r="AG14" s="35"/>
      <c r="AH14" s="35"/>
      <c r="AI14" s="35"/>
      <c r="AJ14" s="35"/>
      <c r="AK14" s="35"/>
      <c r="AL14" s="35"/>
      <c r="AM14" s="35"/>
      <c r="AN14" s="272"/>
      <c r="AO14" s="9"/>
      <c r="AP14" s="9"/>
      <c r="AQ14" s="9"/>
      <c r="AR14" s="9"/>
      <c r="AS14" s="9"/>
      <c r="AT14" s="9"/>
      <c r="AU14" s="9"/>
      <c r="AV14" s="9"/>
      <c r="AW14" s="9"/>
      <c r="AX14" s="9"/>
    </row>
    <row r="15" spans="1:50" ht="15.75" customHeight="1" x14ac:dyDescent="0.2">
      <c r="A15" s="18"/>
      <c r="B15" s="103" t="s">
        <v>31</v>
      </c>
      <c r="C15" s="103"/>
      <c r="D15" s="77">
        <f t="shared" ref="D15:AM15" si="7">D16+D28+D52+D40</f>
        <v>2308490</v>
      </c>
      <c r="E15" s="77">
        <f t="shared" si="7"/>
        <v>1549016</v>
      </c>
      <c r="F15" s="77">
        <f t="shared" si="7"/>
        <v>3394111</v>
      </c>
      <c r="G15" s="77">
        <f t="shared" si="7"/>
        <v>2399021</v>
      </c>
      <c r="H15" s="77">
        <f t="shared" si="7"/>
        <v>3605232.1984479316</v>
      </c>
      <c r="I15" s="77">
        <f t="shared" si="7"/>
        <v>3605232.1984479316</v>
      </c>
      <c r="J15" s="77">
        <f t="shared" si="7"/>
        <v>3605232.1984479316</v>
      </c>
      <c r="K15" s="77">
        <f t="shared" si="7"/>
        <v>3605232.1984479316</v>
      </c>
      <c r="L15" s="77">
        <f t="shared" si="7"/>
        <v>3605232.1984479316</v>
      </c>
      <c r="M15" s="77">
        <f t="shared" si="7"/>
        <v>3605232.1984479316</v>
      </c>
      <c r="N15" s="77">
        <f t="shared" si="7"/>
        <v>3802469.8278226918</v>
      </c>
      <c r="O15" s="273">
        <f t="shared" si="7"/>
        <v>7195783.3449994698</v>
      </c>
      <c r="P15" s="77">
        <f t="shared" si="7"/>
        <v>3958022.9604645232</v>
      </c>
      <c r="Q15" s="77">
        <f t="shared" si="7"/>
        <v>2379331.5720116305</v>
      </c>
      <c r="R15" s="77">
        <f t="shared" si="7"/>
        <v>4824324.8920883574</v>
      </c>
      <c r="S15" s="77">
        <f t="shared" si="7"/>
        <v>3605232.1984479316</v>
      </c>
      <c r="T15" s="77">
        <f t="shared" si="7"/>
        <v>3605232.1984479316</v>
      </c>
      <c r="U15" s="77">
        <f t="shared" si="7"/>
        <v>3605232.1984479316</v>
      </c>
      <c r="V15" s="77">
        <f t="shared" si="7"/>
        <v>3605232.1984479316</v>
      </c>
      <c r="W15" s="77">
        <f t="shared" si="7"/>
        <v>3605232.1984479316</v>
      </c>
      <c r="X15" s="77">
        <f t="shared" si="7"/>
        <v>3605232.1984479316</v>
      </c>
      <c r="Y15" s="77">
        <f t="shared" si="7"/>
        <v>3605232.1984479316</v>
      </c>
      <c r="Z15" s="77">
        <f t="shared" si="7"/>
        <v>3802469.8278226918</v>
      </c>
      <c r="AA15" s="273">
        <f t="shared" si="7"/>
        <v>7195783.3449994698</v>
      </c>
      <c r="AB15" s="77">
        <f t="shared" si="7"/>
        <v>3958022.9604645232</v>
      </c>
      <c r="AC15" s="77">
        <f t="shared" si="7"/>
        <v>2379331.5720116305</v>
      </c>
      <c r="AD15" s="77">
        <f t="shared" si="7"/>
        <v>4824324.8920883574</v>
      </c>
      <c r="AE15" s="77">
        <f t="shared" si="7"/>
        <v>3605232.1984479316</v>
      </c>
      <c r="AF15" s="77">
        <f t="shared" si="7"/>
        <v>3605232.1984479316</v>
      </c>
      <c r="AG15" s="77">
        <f t="shared" si="7"/>
        <v>3605232.1984479316</v>
      </c>
      <c r="AH15" s="77">
        <f t="shared" si="7"/>
        <v>3605232.1984479316</v>
      </c>
      <c r="AI15" s="77">
        <f t="shared" si="7"/>
        <v>3605232.1984479316</v>
      </c>
      <c r="AJ15" s="77">
        <f t="shared" si="7"/>
        <v>3605232.1984479316</v>
      </c>
      <c r="AK15" s="77">
        <f t="shared" si="7"/>
        <v>3605232.1984479316</v>
      </c>
      <c r="AL15" s="77">
        <f t="shared" si="7"/>
        <v>3802469.8278226918</v>
      </c>
      <c r="AM15" s="77">
        <f t="shared" si="7"/>
        <v>7195783.3449994698</v>
      </c>
      <c r="AN15" s="274">
        <f t="shared" ref="AN15:AN16" si="8">SUM(D15:O15)</f>
        <v>42280284.363509752</v>
      </c>
      <c r="AO15" s="9"/>
      <c r="AP15" s="9"/>
      <c r="AQ15" s="9"/>
      <c r="AR15" s="9"/>
      <c r="AS15" s="9"/>
      <c r="AT15" s="9"/>
      <c r="AU15" s="9"/>
      <c r="AV15" s="9"/>
      <c r="AW15" s="9"/>
      <c r="AX15" s="9"/>
    </row>
    <row r="16" spans="1:50" ht="16.5" customHeight="1" x14ac:dyDescent="0.2">
      <c r="A16" s="16"/>
      <c r="B16" s="248" t="s">
        <v>235</v>
      </c>
      <c r="C16" s="44" t="s">
        <v>31</v>
      </c>
      <c r="D16" s="45">
        <f t="shared" ref="D16:F16" si="9">D26*D24</f>
        <v>735072</v>
      </c>
      <c r="E16" s="45">
        <f t="shared" si="9"/>
        <v>885157</v>
      </c>
      <c r="F16" s="45">
        <f t="shared" si="9"/>
        <v>1469093</v>
      </c>
      <c r="G16" s="45">
        <f t="shared" ref="G16:AM16" si="10">$C25*G24</f>
        <v>900041</v>
      </c>
      <c r="H16" s="45">
        <f t="shared" si="10"/>
        <v>900041</v>
      </c>
      <c r="I16" s="45">
        <f t="shared" si="10"/>
        <v>900041</v>
      </c>
      <c r="J16" s="45">
        <f t="shared" si="10"/>
        <v>900041</v>
      </c>
      <c r="K16" s="45">
        <f t="shared" si="10"/>
        <v>900041</v>
      </c>
      <c r="L16" s="45">
        <f t="shared" si="10"/>
        <v>900041</v>
      </c>
      <c r="M16" s="45">
        <f t="shared" si="10"/>
        <v>900041</v>
      </c>
      <c r="N16" s="45">
        <f t="shared" si="10"/>
        <v>894772</v>
      </c>
      <c r="O16" s="275">
        <f t="shared" si="10"/>
        <v>943630</v>
      </c>
      <c r="P16" s="45">
        <f t="shared" si="10"/>
        <v>879923</v>
      </c>
      <c r="Q16" s="45">
        <f t="shared" si="10"/>
        <v>948899</v>
      </c>
      <c r="R16" s="45">
        <f t="shared" si="10"/>
        <v>1218576</v>
      </c>
      <c r="S16" s="45">
        <f t="shared" si="10"/>
        <v>900041</v>
      </c>
      <c r="T16" s="45">
        <f t="shared" si="10"/>
        <v>900041</v>
      </c>
      <c r="U16" s="45">
        <f t="shared" si="10"/>
        <v>900041</v>
      </c>
      <c r="V16" s="45">
        <f t="shared" si="10"/>
        <v>900041</v>
      </c>
      <c r="W16" s="45">
        <f t="shared" si="10"/>
        <v>900041</v>
      </c>
      <c r="X16" s="45">
        <f t="shared" si="10"/>
        <v>900041</v>
      </c>
      <c r="Y16" s="45">
        <f t="shared" si="10"/>
        <v>900041</v>
      </c>
      <c r="Z16" s="45">
        <f t="shared" si="10"/>
        <v>894772</v>
      </c>
      <c r="AA16" s="275">
        <f t="shared" si="10"/>
        <v>943630</v>
      </c>
      <c r="AB16" s="45">
        <f t="shared" si="10"/>
        <v>879923</v>
      </c>
      <c r="AC16" s="45">
        <f t="shared" si="10"/>
        <v>948899</v>
      </c>
      <c r="AD16" s="45">
        <f t="shared" si="10"/>
        <v>1218576</v>
      </c>
      <c r="AE16" s="45">
        <f t="shared" si="10"/>
        <v>900041</v>
      </c>
      <c r="AF16" s="45">
        <f t="shared" si="10"/>
        <v>900041</v>
      </c>
      <c r="AG16" s="45">
        <f t="shared" si="10"/>
        <v>900041</v>
      </c>
      <c r="AH16" s="45">
        <f t="shared" si="10"/>
        <v>900041</v>
      </c>
      <c r="AI16" s="45">
        <f t="shared" si="10"/>
        <v>900041</v>
      </c>
      <c r="AJ16" s="45">
        <f t="shared" si="10"/>
        <v>900041</v>
      </c>
      <c r="AK16" s="45">
        <f t="shared" si="10"/>
        <v>900041</v>
      </c>
      <c r="AL16" s="45">
        <f t="shared" si="10"/>
        <v>894772</v>
      </c>
      <c r="AM16" s="45">
        <f t="shared" si="10"/>
        <v>943630</v>
      </c>
      <c r="AN16" s="276">
        <f t="shared" si="8"/>
        <v>11228011</v>
      </c>
      <c r="AO16" s="9"/>
      <c r="AP16" s="9"/>
      <c r="AQ16" s="9"/>
      <c r="AR16" s="9"/>
      <c r="AS16" s="9"/>
      <c r="AT16" s="9"/>
      <c r="AU16" s="9"/>
      <c r="AV16" s="9"/>
      <c r="AW16" s="9"/>
      <c r="AX16" s="9"/>
    </row>
    <row r="17" spans="1:50" ht="16.5" customHeight="1" outlineLevel="1" x14ac:dyDescent="0.2">
      <c r="A17" s="16"/>
      <c r="B17" s="46" t="s">
        <v>33</v>
      </c>
      <c r="C17" s="7" t="s">
        <v>34</v>
      </c>
      <c r="D17" s="47">
        <f>'Расчетный лист'!C7</f>
        <v>0.94421659231958699</v>
      </c>
      <c r="E17" s="47">
        <f>'Расчетный лист'!D7</f>
        <v>1.0180356412425131</v>
      </c>
      <c r="F17" s="47">
        <f>'Расчетный лист'!E7</f>
        <v>1.3073349532625504</v>
      </c>
      <c r="G17" s="47">
        <f>'Расчетный лист'!F7</f>
        <v>0.96542293843289073</v>
      </c>
      <c r="H17" s="47">
        <f>'Расчетный лист'!G7</f>
        <v>0.96542293843289073</v>
      </c>
      <c r="I17" s="47">
        <f>'Расчетный лист'!H7</f>
        <v>0.96542293843289073</v>
      </c>
      <c r="J17" s="47">
        <f>'Расчетный лист'!I7</f>
        <v>0.96542293843289073</v>
      </c>
      <c r="K17" s="47">
        <f>'Расчетный лист'!J7</f>
        <v>0.96542293843289073</v>
      </c>
      <c r="L17" s="47">
        <f>'Расчетный лист'!K7</f>
        <v>0.96542293843289073</v>
      </c>
      <c r="M17" s="47">
        <f>'Расчетный лист'!L7</f>
        <v>0.96542293843289073</v>
      </c>
      <c r="N17" s="47">
        <f>'Расчетный лист'!M7</f>
        <v>0.95991977066774625</v>
      </c>
      <c r="O17" s="277">
        <f>'Расчетный лист'!N7</f>
        <v>1.0125324734773689</v>
      </c>
      <c r="P17" s="47">
        <f t="shared" ref="P17:AM17" si="11">D17</f>
        <v>0.94421659231958699</v>
      </c>
      <c r="Q17" s="47">
        <f t="shared" si="11"/>
        <v>1.0180356412425131</v>
      </c>
      <c r="R17" s="47">
        <f t="shared" si="11"/>
        <v>1.3073349532625504</v>
      </c>
      <c r="S17" s="47">
        <f t="shared" si="11"/>
        <v>0.96542293843289073</v>
      </c>
      <c r="T17" s="47">
        <f t="shared" si="11"/>
        <v>0.96542293843289073</v>
      </c>
      <c r="U17" s="47">
        <f t="shared" si="11"/>
        <v>0.96542293843289073</v>
      </c>
      <c r="V17" s="47">
        <f t="shared" si="11"/>
        <v>0.96542293843289073</v>
      </c>
      <c r="W17" s="47">
        <f t="shared" si="11"/>
        <v>0.96542293843289073</v>
      </c>
      <c r="X17" s="47">
        <f t="shared" si="11"/>
        <v>0.96542293843289073</v>
      </c>
      <c r="Y17" s="47">
        <f t="shared" si="11"/>
        <v>0.96542293843289073</v>
      </c>
      <c r="Z17" s="47">
        <f t="shared" si="11"/>
        <v>0.95991977066774625</v>
      </c>
      <c r="AA17" s="277">
        <f t="shared" si="11"/>
        <v>1.0125324734773689</v>
      </c>
      <c r="AB17" s="47">
        <f t="shared" si="11"/>
        <v>0.94421659231958699</v>
      </c>
      <c r="AC17" s="47">
        <f t="shared" si="11"/>
        <v>1.0180356412425131</v>
      </c>
      <c r="AD17" s="47">
        <f t="shared" si="11"/>
        <v>1.3073349532625504</v>
      </c>
      <c r="AE17" s="47">
        <f t="shared" si="11"/>
        <v>0.96542293843289073</v>
      </c>
      <c r="AF17" s="47">
        <f t="shared" si="11"/>
        <v>0.96542293843289073</v>
      </c>
      <c r="AG17" s="47">
        <f t="shared" si="11"/>
        <v>0.96542293843289073</v>
      </c>
      <c r="AH17" s="47">
        <f t="shared" si="11"/>
        <v>0.96542293843289073</v>
      </c>
      <c r="AI17" s="47">
        <f t="shared" si="11"/>
        <v>0.96542293843289073</v>
      </c>
      <c r="AJ17" s="47">
        <f t="shared" si="11"/>
        <v>0.96542293843289073</v>
      </c>
      <c r="AK17" s="47">
        <f t="shared" si="11"/>
        <v>0.96542293843289073</v>
      </c>
      <c r="AL17" s="47">
        <f t="shared" si="11"/>
        <v>0.95991977066774625</v>
      </c>
      <c r="AM17" s="47">
        <f t="shared" si="11"/>
        <v>1.0125324734773689</v>
      </c>
      <c r="AN17" s="276"/>
      <c r="AO17" s="9"/>
      <c r="AP17" s="9"/>
      <c r="AQ17" s="9"/>
      <c r="AR17" s="9"/>
      <c r="AS17" s="9"/>
      <c r="AT17" s="9"/>
      <c r="AU17" s="9"/>
      <c r="AV17" s="9"/>
      <c r="AW17" s="9"/>
      <c r="AX17" s="9"/>
    </row>
    <row r="18" spans="1:50" ht="15.75" customHeight="1" outlineLevel="1" x14ac:dyDescent="0.2">
      <c r="A18" s="48"/>
      <c r="B18" s="49" t="s">
        <v>35</v>
      </c>
      <c r="C18" s="50">
        <f>'Расчетный лист'!B6</f>
        <v>99215.583333333328</v>
      </c>
      <c r="D18" s="51">
        <f t="shared" ref="D18:AM18" si="12">ROUND(D17*$C18,0)</f>
        <v>93681</v>
      </c>
      <c r="E18" s="51">
        <f t="shared" si="12"/>
        <v>101005</v>
      </c>
      <c r="F18" s="51">
        <f t="shared" si="12"/>
        <v>129708</v>
      </c>
      <c r="G18" s="51">
        <f t="shared" si="12"/>
        <v>95785</v>
      </c>
      <c r="H18" s="51">
        <f t="shared" si="12"/>
        <v>95785</v>
      </c>
      <c r="I18" s="51">
        <f t="shared" si="12"/>
        <v>95785</v>
      </c>
      <c r="J18" s="51">
        <f t="shared" si="12"/>
        <v>95785</v>
      </c>
      <c r="K18" s="51">
        <f t="shared" si="12"/>
        <v>95785</v>
      </c>
      <c r="L18" s="51">
        <f t="shared" si="12"/>
        <v>95785</v>
      </c>
      <c r="M18" s="51">
        <f t="shared" si="12"/>
        <v>95785</v>
      </c>
      <c r="N18" s="51">
        <f t="shared" si="12"/>
        <v>95239</v>
      </c>
      <c r="O18" s="278">
        <f t="shared" si="12"/>
        <v>100459</v>
      </c>
      <c r="P18" s="51">
        <f t="shared" si="12"/>
        <v>93681</v>
      </c>
      <c r="Q18" s="51">
        <f t="shared" si="12"/>
        <v>101005</v>
      </c>
      <c r="R18" s="51">
        <f t="shared" si="12"/>
        <v>129708</v>
      </c>
      <c r="S18" s="51">
        <f t="shared" si="12"/>
        <v>95785</v>
      </c>
      <c r="T18" s="51">
        <f t="shared" si="12"/>
        <v>95785</v>
      </c>
      <c r="U18" s="51">
        <f t="shared" si="12"/>
        <v>95785</v>
      </c>
      <c r="V18" s="51">
        <f t="shared" si="12"/>
        <v>95785</v>
      </c>
      <c r="W18" s="51">
        <f t="shared" si="12"/>
        <v>95785</v>
      </c>
      <c r="X18" s="51">
        <f t="shared" si="12"/>
        <v>95785</v>
      </c>
      <c r="Y18" s="51">
        <f t="shared" si="12"/>
        <v>95785</v>
      </c>
      <c r="Z18" s="51">
        <f t="shared" si="12"/>
        <v>95239</v>
      </c>
      <c r="AA18" s="278">
        <f t="shared" si="12"/>
        <v>100459</v>
      </c>
      <c r="AB18" s="51">
        <f t="shared" si="12"/>
        <v>93681</v>
      </c>
      <c r="AC18" s="51">
        <f t="shared" si="12"/>
        <v>101005</v>
      </c>
      <c r="AD18" s="51">
        <f t="shared" si="12"/>
        <v>129708</v>
      </c>
      <c r="AE18" s="51">
        <f t="shared" si="12"/>
        <v>95785</v>
      </c>
      <c r="AF18" s="51">
        <f t="shared" si="12"/>
        <v>95785</v>
      </c>
      <c r="AG18" s="51">
        <f t="shared" si="12"/>
        <v>95785</v>
      </c>
      <c r="AH18" s="51">
        <f t="shared" si="12"/>
        <v>95785</v>
      </c>
      <c r="AI18" s="51">
        <f t="shared" si="12"/>
        <v>95785</v>
      </c>
      <c r="AJ18" s="51">
        <f t="shared" si="12"/>
        <v>95785</v>
      </c>
      <c r="AK18" s="51">
        <f t="shared" si="12"/>
        <v>95785</v>
      </c>
      <c r="AL18" s="51">
        <f t="shared" si="12"/>
        <v>95239</v>
      </c>
      <c r="AM18" s="51">
        <f t="shared" si="12"/>
        <v>100459</v>
      </c>
      <c r="AN18" s="276">
        <f>SUM(D18:O18)</f>
        <v>1190587</v>
      </c>
      <c r="AO18" s="9"/>
      <c r="AP18" s="9"/>
      <c r="AQ18" s="9"/>
      <c r="AR18" s="9"/>
      <c r="AS18" s="9"/>
      <c r="AT18" s="9"/>
      <c r="AU18" s="9"/>
      <c r="AV18" s="9"/>
      <c r="AW18" s="9"/>
      <c r="AX18" s="9"/>
    </row>
    <row r="19" spans="1:50" ht="15.75" customHeight="1" outlineLevel="1" x14ac:dyDescent="0.2">
      <c r="A19" s="48"/>
      <c r="B19" s="49" t="s">
        <v>36</v>
      </c>
      <c r="C19" s="52">
        <f>'Расчетный лист'!B17</f>
        <v>8.3224385088797412E-2</v>
      </c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66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66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76"/>
      <c r="AO19" s="9"/>
      <c r="AP19" s="9"/>
      <c r="AQ19" s="9"/>
      <c r="AR19" s="9"/>
      <c r="AS19" s="9"/>
      <c r="AT19" s="9"/>
      <c r="AU19" s="9"/>
      <c r="AV19" s="9"/>
      <c r="AW19" s="9"/>
      <c r="AX19" s="9"/>
    </row>
    <row r="20" spans="1:50" ht="15.75" customHeight="1" outlineLevel="1" x14ac:dyDescent="0.2">
      <c r="A20" s="48"/>
      <c r="B20" s="53" t="s">
        <v>37</v>
      </c>
      <c r="C20" s="54"/>
      <c r="D20" s="279">
        <f>'Расчетный лист'!E18</f>
        <v>7710</v>
      </c>
      <c r="E20" s="279">
        <f>'Расчетный лист'!F18</f>
        <v>8302</v>
      </c>
      <c r="F20" s="279">
        <f>'Расчетный лист'!G18</f>
        <v>11406</v>
      </c>
      <c r="G20" s="51">
        <f t="shared" ref="G20:AM20" si="13">ROUND(G18*$C19,0)</f>
        <v>7972</v>
      </c>
      <c r="H20" s="51">
        <f t="shared" si="13"/>
        <v>7972</v>
      </c>
      <c r="I20" s="51">
        <f t="shared" si="13"/>
        <v>7972</v>
      </c>
      <c r="J20" s="51">
        <f t="shared" si="13"/>
        <v>7972</v>
      </c>
      <c r="K20" s="51">
        <f t="shared" si="13"/>
        <v>7972</v>
      </c>
      <c r="L20" s="51">
        <f t="shared" si="13"/>
        <v>7972</v>
      </c>
      <c r="M20" s="51">
        <f t="shared" si="13"/>
        <v>7972</v>
      </c>
      <c r="N20" s="51">
        <f t="shared" si="13"/>
        <v>7926</v>
      </c>
      <c r="O20" s="278">
        <f t="shared" si="13"/>
        <v>8361</v>
      </c>
      <c r="P20" s="51">
        <f t="shared" si="13"/>
        <v>7797</v>
      </c>
      <c r="Q20" s="51">
        <f t="shared" si="13"/>
        <v>8406</v>
      </c>
      <c r="R20" s="51">
        <f t="shared" si="13"/>
        <v>10795</v>
      </c>
      <c r="S20" s="51">
        <f t="shared" si="13"/>
        <v>7972</v>
      </c>
      <c r="T20" s="51">
        <f t="shared" si="13"/>
        <v>7972</v>
      </c>
      <c r="U20" s="51">
        <f t="shared" si="13"/>
        <v>7972</v>
      </c>
      <c r="V20" s="51">
        <f t="shared" si="13"/>
        <v>7972</v>
      </c>
      <c r="W20" s="51">
        <f t="shared" si="13"/>
        <v>7972</v>
      </c>
      <c r="X20" s="51">
        <f t="shared" si="13"/>
        <v>7972</v>
      </c>
      <c r="Y20" s="51">
        <f t="shared" si="13"/>
        <v>7972</v>
      </c>
      <c r="Z20" s="51">
        <f t="shared" si="13"/>
        <v>7926</v>
      </c>
      <c r="AA20" s="278">
        <f t="shared" si="13"/>
        <v>8361</v>
      </c>
      <c r="AB20" s="51">
        <f t="shared" si="13"/>
        <v>7797</v>
      </c>
      <c r="AC20" s="51">
        <f t="shared" si="13"/>
        <v>8406</v>
      </c>
      <c r="AD20" s="51">
        <f t="shared" si="13"/>
        <v>10795</v>
      </c>
      <c r="AE20" s="51">
        <f t="shared" si="13"/>
        <v>7972</v>
      </c>
      <c r="AF20" s="51">
        <f t="shared" si="13"/>
        <v>7972</v>
      </c>
      <c r="AG20" s="51">
        <f t="shared" si="13"/>
        <v>7972</v>
      </c>
      <c r="AH20" s="51">
        <f t="shared" si="13"/>
        <v>7972</v>
      </c>
      <c r="AI20" s="51">
        <f t="shared" si="13"/>
        <v>7972</v>
      </c>
      <c r="AJ20" s="51">
        <f t="shared" si="13"/>
        <v>7972</v>
      </c>
      <c r="AK20" s="51">
        <f t="shared" si="13"/>
        <v>7972</v>
      </c>
      <c r="AL20" s="51">
        <f t="shared" si="13"/>
        <v>7926</v>
      </c>
      <c r="AM20" s="51">
        <f t="shared" si="13"/>
        <v>8361</v>
      </c>
      <c r="AN20" s="276">
        <f>SUM(D20:O20)</f>
        <v>99509</v>
      </c>
      <c r="AO20" s="9"/>
      <c r="AP20" s="9"/>
      <c r="AQ20" s="9"/>
      <c r="AR20" s="9"/>
      <c r="AS20" s="9"/>
      <c r="AT20" s="9"/>
      <c r="AU20" s="9"/>
      <c r="AV20" s="9"/>
      <c r="AW20" s="9"/>
      <c r="AX20" s="9"/>
    </row>
    <row r="21" spans="1:50" ht="15.75" customHeight="1" outlineLevel="1" x14ac:dyDescent="0.2">
      <c r="A21" s="16"/>
      <c r="B21" s="49" t="s">
        <v>38</v>
      </c>
      <c r="C21" s="55">
        <f>'Расчетный лист'!B19</f>
        <v>0.29067506784030195</v>
      </c>
      <c r="D21" s="51"/>
      <c r="E21" s="51"/>
      <c r="F21" s="51"/>
      <c r="G21" s="51"/>
      <c r="H21" s="51"/>
      <c r="I21" s="51"/>
      <c r="J21" s="51"/>
      <c r="K21" s="51"/>
      <c r="L21" s="51"/>
      <c r="M21" s="51"/>
      <c r="N21" s="51"/>
      <c r="O21" s="278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278"/>
      <c r="AB21" s="51"/>
      <c r="AC21" s="51"/>
      <c r="AD21" s="51"/>
      <c r="AE21" s="51"/>
      <c r="AF21" s="51"/>
      <c r="AG21" s="51"/>
      <c r="AH21" s="51"/>
      <c r="AI21" s="51"/>
      <c r="AJ21" s="51"/>
      <c r="AK21" s="51"/>
      <c r="AL21" s="51"/>
      <c r="AM21" s="51"/>
      <c r="AN21" s="276"/>
      <c r="AO21" s="9"/>
      <c r="AP21" s="9"/>
      <c r="AQ21" s="9"/>
      <c r="AR21" s="9"/>
      <c r="AS21" s="9"/>
      <c r="AT21" s="9"/>
      <c r="AU21" s="9"/>
      <c r="AV21" s="9"/>
      <c r="AW21" s="9"/>
      <c r="AX21" s="9"/>
    </row>
    <row r="22" spans="1:50" ht="15.75" customHeight="1" outlineLevel="1" x14ac:dyDescent="0.2">
      <c r="A22" s="48"/>
      <c r="B22" s="53" t="s">
        <v>39</v>
      </c>
      <c r="C22" s="56"/>
      <c r="D22" s="280">
        <f t="shared" ref="D22:AM22" si="14">ROUND(D20*$C21,0)</f>
        <v>2241</v>
      </c>
      <c r="E22" s="280">
        <f t="shared" si="14"/>
        <v>2413</v>
      </c>
      <c r="F22" s="280">
        <f t="shared" si="14"/>
        <v>3315</v>
      </c>
      <c r="G22" s="51">
        <f t="shared" si="14"/>
        <v>2317</v>
      </c>
      <c r="H22" s="51">
        <f t="shared" si="14"/>
        <v>2317</v>
      </c>
      <c r="I22" s="51">
        <f t="shared" si="14"/>
        <v>2317</v>
      </c>
      <c r="J22" s="51">
        <f t="shared" si="14"/>
        <v>2317</v>
      </c>
      <c r="K22" s="51">
        <f t="shared" si="14"/>
        <v>2317</v>
      </c>
      <c r="L22" s="51">
        <f t="shared" si="14"/>
        <v>2317</v>
      </c>
      <c r="M22" s="51">
        <f t="shared" si="14"/>
        <v>2317</v>
      </c>
      <c r="N22" s="51">
        <f t="shared" si="14"/>
        <v>2304</v>
      </c>
      <c r="O22" s="278">
        <f t="shared" si="14"/>
        <v>2430</v>
      </c>
      <c r="P22" s="51">
        <f t="shared" si="14"/>
        <v>2266</v>
      </c>
      <c r="Q22" s="51">
        <f t="shared" si="14"/>
        <v>2443</v>
      </c>
      <c r="R22" s="51">
        <f t="shared" si="14"/>
        <v>3138</v>
      </c>
      <c r="S22" s="51">
        <f t="shared" si="14"/>
        <v>2317</v>
      </c>
      <c r="T22" s="51">
        <f t="shared" si="14"/>
        <v>2317</v>
      </c>
      <c r="U22" s="51">
        <f t="shared" si="14"/>
        <v>2317</v>
      </c>
      <c r="V22" s="51">
        <f t="shared" si="14"/>
        <v>2317</v>
      </c>
      <c r="W22" s="51">
        <f t="shared" si="14"/>
        <v>2317</v>
      </c>
      <c r="X22" s="51">
        <f t="shared" si="14"/>
        <v>2317</v>
      </c>
      <c r="Y22" s="51">
        <f t="shared" si="14"/>
        <v>2317</v>
      </c>
      <c r="Z22" s="51">
        <f t="shared" si="14"/>
        <v>2304</v>
      </c>
      <c r="AA22" s="278">
        <f t="shared" si="14"/>
        <v>2430</v>
      </c>
      <c r="AB22" s="51">
        <f t="shared" si="14"/>
        <v>2266</v>
      </c>
      <c r="AC22" s="51">
        <f t="shared" si="14"/>
        <v>2443</v>
      </c>
      <c r="AD22" s="51">
        <f t="shared" si="14"/>
        <v>3138</v>
      </c>
      <c r="AE22" s="51">
        <f t="shared" si="14"/>
        <v>2317</v>
      </c>
      <c r="AF22" s="51">
        <f t="shared" si="14"/>
        <v>2317</v>
      </c>
      <c r="AG22" s="51">
        <f t="shared" si="14"/>
        <v>2317</v>
      </c>
      <c r="AH22" s="51">
        <f t="shared" si="14"/>
        <v>2317</v>
      </c>
      <c r="AI22" s="51">
        <f t="shared" si="14"/>
        <v>2317</v>
      </c>
      <c r="AJ22" s="51">
        <f t="shared" si="14"/>
        <v>2317</v>
      </c>
      <c r="AK22" s="51">
        <f t="shared" si="14"/>
        <v>2317</v>
      </c>
      <c r="AL22" s="51">
        <f t="shared" si="14"/>
        <v>2304</v>
      </c>
      <c r="AM22" s="51">
        <f t="shared" si="14"/>
        <v>2430</v>
      </c>
      <c r="AN22" s="276">
        <f>SUM(D22:O22)</f>
        <v>28922</v>
      </c>
      <c r="AO22" s="9"/>
      <c r="AP22" s="9"/>
      <c r="AQ22" s="9"/>
      <c r="AR22" s="9"/>
      <c r="AS22" s="9"/>
      <c r="AT22" s="9"/>
      <c r="AU22" s="9"/>
      <c r="AV22" s="9"/>
      <c r="AW22" s="9"/>
      <c r="AX22" s="9"/>
    </row>
    <row r="23" spans="1:50" ht="15.75" customHeight="1" outlineLevel="1" x14ac:dyDescent="0.2">
      <c r="A23" s="16"/>
      <c r="B23" s="49" t="s">
        <v>40</v>
      </c>
      <c r="C23" s="55">
        <f>'Расчетный лист'!B21</f>
        <v>0.81079421002184093</v>
      </c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278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278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1"/>
      <c r="AN23" s="276"/>
      <c r="AO23" s="9"/>
      <c r="AP23" s="9"/>
      <c r="AQ23" s="9"/>
      <c r="AR23" s="9"/>
      <c r="AS23" s="9"/>
      <c r="AT23" s="9"/>
      <c r="AU23" s="9"/>
      <c r="AV23" s="9"/>
      <c r="AW23" s="9"/>
      <c r="AX23" s="9"/>
    </row>
    <row r="24" spans="1:50" ht="15.75" customHeight="1" outlineLevel="1" x14ac:dyDescent="0.2">
      <c r="A24" s="16"/>
      <c r="B24" s="53" t="s">
        <v>41</v>
      </c>
      <c r="C24" s="56"/>
      <c r="D24" s="279">
        <f>'Расчетный лист'!E22-35</f>
        <v>1488</v>
      </c>
      <c r="E24" s="279">
        <f>'Расчетный лист'!F22-25</f>
        <v>1781</v>
      </c>
      <c r="F24" s="279">
        <f>'Расчетный лист'!G22</f>
        <v>3067</v>
      </c>
      <c r="G24" s="51">
        <f t="shared" ref="G24:AM24" si="15">ROUND(G22*$C23,0)</f>
        <v>1879</v>
      </c>
      <c r="H24" s="51">
        <f t="shared" si="15"/>
        <v>1879</v>
      </c>
      <c r="I24" s="51">
        <f t="shared" si="15"/>
        <v>1879</v>
      </c>
      <c r="J24" s="51">
        <f t="shared" si="15"/>
        <v>1879</v>
      </c>
      <c r="K24" s="51">
        <f t="shared" si="15"/>
        <v>1879</v>
      </c>
      <c r="L24" s="51">
        <f t="shared" si="15"/>
        <v>1879</v>
      </c>
      <c r="M24" s="51">
        <f t="shared" si="15"/>
        <v>1879</v>
      </c>
      <c r="N24" s="51">
        <f t="shared" si="15"/>
        <v>1868</v>
      </c>
      <c r="O24" s="278">
        <f t="shared" si="15"/>
        <v>1970</v>
      </c>
      <c r="P24" s="51">
        <f t="shared" si="15"/>
        <v>1837</v>
      </c>
      <c r="Q24" s="51">
        <f t="shared" si="15"/>
        <v>1981</v>
      </c>
      <c r="R24" s="51">
        <f t="shared" si="15"/>
        <v>2544</v>
      </c>
      <c r="S24" s="51">
        <f t="shared" si="15"/>
        <v>1879</v>
      </c>
      <c r="T24" s="51">
        <f t="shared" si="15"/>
        <v>1879</v>
      </c>
      <c r="U24" s="51">
        <f t="shared" si="15"/>
        <v>1879</v>
      </c>
      <c r="V24" s="51">
        <f t="shared" si="15"/>
        <v>1879</v>
      </c>
      <c r="W24" s="51">
        <f t="shared" si="15"/>
        <v>1879</v>
      </c>
      <c r="X24" s="51">
        <f t="shared" si="15"/>
        <v>1879</v>
      </c>
      <c r="Y24" s="51">
        <f t="shared" si="15"/>
        <v>1879</v>
      </c>
      <c r="Z24" s="51">
        <f t="shared" si="15"/>
        <v>1868</v>
      </c>
      <c r="AA24" s="278">
        <f t="shared" si="15"/>
        <v>1970</v>
      </c>
      <c r="AB24" s="51">
        <f t="shared" si="15"/>
        <v>1837</v>
      </c>
      <c r="AC24" s="51">
        <f t="shared" si="15"/>
        <v>1981</v>
      </c>
      <c r="AD24" s="51">
        <f t="shared" si="15"/>
        <v>2544</v>
      </c>
      <c r="AE24" s="51">
        <f t="shared" si="15"/>
        <v>1879</v>
      </c>
      <c r="AF24" s="51">
        <f t="shared" si="15"/>
        <v>1879</v>
      </c>
      <c r="AG24" s="51">
        <f t="shared" si="15"/>
        <v>1879</v>
      </c>
      <c r="AH24" s="51">
        <f t="shared" si="15"/>
        <v>1879</v>
      </c>
      <c r="AI24" s="51">
        <f t="shared" si="15"/>
        <v>1879</v>
      </c>
      <c r="AJ24" s="51">
        <f t="shared" si="15"/>
        <v>1879</v>
      </c>
      <c r="AK24" s="51">
        <f t="shared" si="15"/>
        <v>1879</v>
      </c>
      <c r="AL24" s="51">
        <f t="shared" si="15"/>
        <v>1868</v>
      </c>
      <c r="AM24" s="51">
        <f t="shared" si="15"/>
        <v>1970</v>
      </c>
      <c r="AN24" s="276">
        <f>SUM(D24:O24)</f>
        <v>23327</v>
      </c>
      <c r="AO24" s="9"/>
      <c r="AP24" s="9"/>
      <c r="AQ24" s="9"/>
      <c r="AR24" s="9"/>
      <c r="AS24" s="9"/>
      <c r="AT24" s="9"/>
      <c r="AU24" s="9"/>
      <c r="AV24" s="9"/>
      <c r="AW24" s="9"/>
      <c r="AX24" s="9"/>
    </row>
    <row r="25" spans="1:50" ht="15.75" customHeight="1" outlineLevel="1" x14ac:dyDescent="0.2">
      <c r="A25" s="16"/>
      <c r="B25" s="53" t="s">
        <v>44</v>
      </c>
      <c r="C25" s="58">
        <v>479</v>
      </c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278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278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276"/>
      <c r="AO25" s="9"/>
      <c r="AP25" s="9"/>
      <c r="AQ25" s="9"/>
      <c r="AR25" s="9"/>
      <c r="AS25" s="9"/>
      <c r="AT25" s="9"/>
      <c r="AU25" s="9"/>
      <c r="AV25" s="9"/>
      <c r="AW25" s="9"/>
      <c r="AX25" s="9"/>
    </row>
    <row r="26" spans="1:50" ht="15.75" customHeight="1" outlineLevel="1" x14ac:dyDescent="0.2">
      <c r="A26" s="48"/>
      <c r="B26" s="228" t="s">
        <v>236</v>
      </c>
      <c r="C26" s="281"/>
      <c r="D26" s="282">
        <v>494</v>
      </c>
      <c r="E26" s="282">
        <v>497</v>
      </c>
      <c r="F26" s="283">
        <f>'Расчетный лист'!G23</f>
        <v>479</v>
      </c>
      <c r="G26" s="51"/>
      <c r="H26" s="51"/>
      <c r="I26" s="51"/>
      <c r="J26" s="51"/>
      <c r="K26" s="51"/>
      <c r="L26" s="51"/>
      <c r="M26" s="51"/>
      <c r="N26" s="51"/>
      <c r="O26" s="278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278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276"/>
      <c r="AO26" s="9"/>
      <c r="AP26" s="9"/>
      <c r="AQ26" s="9"/>
      <c r="AR26" s="9"/>
      <c r="AS26" s="9"/>
      <c r="AT26" s="9"/>
      <c r="AU26" s="9"/>
      <c r="AV26" s="9"/>
      <c r="AW26" s="9"/>
      <c r="AX26" s="9"/>
    </row>
    <row r="27" spans="1:50" ht="21.75" customHeight="1" outlineLevel="1" x14ac:dyDescent="0.2">
      <c r="A27" s="48"/>
      <c r="B27" s="228" t="s">
        <v>237</v>
      </c>
      <c r="C27" s="52"/>
      <c r="D27" s="51">
        <f t="shared" ref="D27:AM27" si="16">D16-D16*$C27</f>
        <v>735072</v>
      </c>
      <c r="E27" s="51">
        <f t="shared" si="16"/>
        <v>885157</v>
      </c>
      <c r="F27" s="51">
        <f t="shared" si="16"/>
        <v>1469093</v>
      </c>
      <c r="G27" s="51">
        <f t="shared" si="16"/>
        <v>900041</v>
      </c>
      <c r="H27" s="51">
        <f t="shared" si="16"/>
        <v>900041</v>
      </c>
      <c r="I27" s="51">
        <f t="shared" si="16"/>
        <v>900041</v>
      </c>
      <c r="J27" s="51">
        <f t="shared" si="16"/>
        <v>900041</v>
      </c>
      <c r="K27" s="51">
        <f t="shared" si="16"/>
        <v>900041</v>
      </c>
      <c r="L27" s="51">
        <f t="shared" si="16"/>
        <v>900041</v>
      </c>
      <c r="M27" s="51">
        <f t="shared" si="16"/>
        <v>900041</v>
      </c>
      <c r="N27" s="51">
        <f t="shared" si="16"/>
        <v>894772</v>
      </c>
      <c r="O27" s="278">
        <f t="shared" si="16"/>
        <v>943630</v>
      </c>
      <c r="P27" s="51">
        <f t="shared" si="16"/>
        <v>879923</v>
      </c>
      <c r="Q27" s="51">
        <f t="shared" si="16"/>
        <v>948899</v>
      </c>
      <c r="R27" s="51">
        <f t="shared" si="16"/>
        <v>1218576</v>
      </c>
      <c r="S27" s="51">
        <f t="shared" si="16"/>
        <v>900041</v>
      </c>
      <c r="T27" s="51">
        <f t="shared" si="16"/>
        <v>900041</v>
      </c>
      <c r="U27" s="51">
        <f t="shared" si="16"/>
        <v>900041</v>
      </c>
      <c r="V27" s="51">
        <f t="shared" si="16"/>
        <v>900041</v>
      </c>
      <c r="W27" s="51">
        <f t="shared" si="16"/>
        <v>900041</v>
      </c>
      <c r="X27" s="51">
        <f t="shared" si="16"/>
        <v>900041</v>
      </c>
      <c r="Y27" s="51">
        <f t="shared" si="16"/>
        <v>900041</v>
      </c>
      <c r="Z27" s="51">
        <f t="shared" si="16"/>
        <v>894772</v>
      </c>
      <c r="AA27" s="278">
        <f t="shared" si="16"/>
        <v>943630</v>
      </c>
      <c r="AB27" s="51">
        <f t="shared" si="16"/>
        <v>879923</v>
      </c>
      <c r="AC27" s="51">
        <f t="shared" si="16"/>
        <v>948899</v>
      </c>
      <c r="AD27" s="51">
        <f t="shared" si="16"/>
        <v>1218576</v>
      </c>
      <c r="AE27" s="51">
        <f t="shared" si="16"/>
        <v>900041</v>
      </c>
      <c r="AF27" s="51">
        <f t="shared" si="16"/>
        <v>900041</v>
      </c>
      <c r="AG27" s="51">
        <f t="shared" si="16"/>
        <v>900041</v>
      </c>
      <c r="AH27" s="51">
        <f t="shared" si="16"/>
        <v>900041</v>
      </c>
      <c r="AI27" s="51">
        <f t="shared" si="16"/>
        <v>900041</v>
      </c>
      <c r="AJ27" s="51">
        <f t="shared" si="16"/>
        <v>900041</v>
      </c>
      <c r="AK27" s="51">
        <f t="shared" si="16"/>
        <v>900041</v>
      </c>
      <c r="AL27" s="51">
        <f t="shared" si="16"/>
        <v>894772</v>
      </c>
      <c r="AM27" s="51">
        <f t="shared" si="16"/>
        <v>943630</v>
      </c>
      <c r="AN27" s="276">
        <f t="shared" ref="AN27:AN28" si="17">SUM(D27:O27)</f>
        <v>11228011</v>
      </c>
      <c r="AO27" s="9"/>
      <c r="AP27" s="9"/>
      <c r="AQ27" s="9"/>
      <c r="AR27" s="9"/>
      <c r="AS27" s="9"/>
      <c r="AT27" s="9"/>
      <c r="AU27" s="9"/>
      <c r="AV27" s="9"/>
      <c r="AW27" s="9"/>
      <c r="AX27" s="9"/>
    </row>
    <row r="28" spans="1:50" ht="16.5" customHeight="1" x14ac:dyDescent="0.2">
      <c r="A28" s="16"/>
      <c r="B28" s="248" t="s">
        <v>238</v>
      </c>
      <c r="C28" s="44" t="s">
        <v>31</v>
      </c>
      <c r="D28" s="45">
        <f t="shared" ref="D28:F28" si="18">D38*D36</f>
        <v>1195068</v>
      </c>
      <c r="E28" s="45">
        <f t="shared" si="18"/>
        <v>490042</v>
      </c>
      <c r="F28" s="45">
        <f t="shared" si="18"/>
        <v>1515808</v>
      </c>
      <c r="G28" s="45">
        <f t="shared" ref="G28:AM28" si="19">$C37*G36</f>
        <v>1206380</v>
      </c>
      <c r="H28" s="45">
        <f t="shared" si="19"/>
        <v>1206380</v>
      </c>
      <c r="I28" s="45">
        <f t="shared" si="19"/>
        <v>1206380</v>
      </c>
      <c r="J28" s="45">
        <f t="shared" si="19"/>
        <v>1206380</v>
      </c>
      <c r="K28" s="45">
        <f t="shared" si="19"/>
        <v>1206380</v>
      </c>
      <c r="L28" s="45">
        <f t="shared" si="19"/>
        <v>1206380</v>
      </c>
      <c r="M28" s="45">
        <f t="shared" si="19"/>
        <v>1206380</v>
      </c>
      <c r="N28" s="45">
        <f t="shared" si="19"/>
        <v>1285760</v>
      </c>
      <c r="O28" s="275">
        <f t="shared" si="19"/>
        <v>2772910</v>
      </c>
      <c r="P28" s="45">
        <f t="shared" si="19"/>
        <v>1374940</v>
      </c>
      <c r="Q28" s="45">
        <f t="shared" si="19"/>
        <v>634550</v>
      </c>
      <c r="R28" s="45">
        <f t="shared" si="19"/>
        <v>1609160</v>
      </c>
      <c r="S28" s="45">
        <f t="shared" si="19"/>
        <v>1206380</v>
      </c>
      <c r="T28" s="45">
        <f t="shared" si="19"/>
        <v>1206380</v>
      </c>
      <c r="U28" s="45">
        <f t="shared" si="19"/>
        <v>1206380</v>
      </c>
      <c r="V28" s="45">
        <f t="shared" si="19"/>
        <v>1206380</v>
      </c>
      <c r="W28" s="45">
        <f t="shared" si="19"/>
        <v>1206380</v>
      </c>
      <c r="X28" s="45">
        <f t="shared" si="19"/>
        <v>1206380</v>
      </c>
      <c r="Y28" s="45">
        <f t="shared" si="19"/>
        <v>1206380</v>
      </c>
      <c r="Z28" s="45">
        <f t="shared" si="19"/>
        <v>1285760</v>
      </c>
      <c r="AA28" s="275">
        <f t="shared" si="19"/>
        <v>2772910</v>
      </c>
      <c r="AB28" s="45">
        <f t="shared" si="19"/>
        <v>1374940</v>
      </c>
      <c r="AC28" s="45">
        <f t="shared" si="19"/>
        <v>634550</v>
      </c>
      <c r="AD28" s="45">
        <f t="shared" si="19"/>
        <v>1609160</v>
      </c>
      <c r="AE28" s="45">
        <f t="shared" si="19"/>
        <v>1206380</v>
      </c>
      <c r="AF28" s="45">
        <f t="shared" si="19"/>
        <v>1206380</v>
      </c>
      <c r="AG28" s="45">
        <f t="shared" si="19"/>
        <v>1206380</v>
      </c>
      <c r="AH28" s="45">
        <f t="shared" si="19"/>
        <v>1206380</v>
      </c>
      <c r="AI28" s="45">
        <f t="shared" si="19"/>
        <v>1206380</v>
      </c>
      <c r="AJ28" s="45">
        <f t="shared" si="19"/>
        <v>1206380</v>
      </c>
      <c r="AK28" s="45">
        <f t="shared" si="19"/>
        <v>1206380</v>
      </c>
      <c r="AL28" s="45">
        <f t="shared" si="19"/>
        <v>1285760</v>
      </c>
      <c r="AM28" s="45">
        <f t="shared" si="19"/>
        <v>2772910</v>
      </c>
      <c r="AN28" s="276">
        <f t="shared" si="17"/>
        <v>15704248</v>
      </c>
      <c r="AO28" s="9"/>
      <c r="AP28" s="9"/>
      <c r="AQ28" s="9"/>
      <c r="AR28" s="9"/>
      <c r="AS28" s="9"/>
      <c r="AT28" s="9"/>
      <c r="AU28" s="9"/>
      <c r="AV28" s="9"/>
      <c r="AW28" s="9"/>
      <c r="AX28" s="9"/>
    </row>
    <row r="29" spans="1:50" ht="16.5" customHeight="1" outlineLevel="1" x14ac:dyDescent="0.2">
      <c r="A29" s="16"/>
      <c r="B29" s="46" t="s">
        <v>33</v>
      </c>
      <c r="C29" s="7" t="s">
        <v>34</v>
      </c>
      <c r="D29" s="47">
        <f>'Расчетный лист'!C9</f>
        <v>1.0236478733170136</v>
      </c>
      <c r="E29" s="47">
        <f>'Расчетный лист'!D9</f>
        <v>0.47207772337821302</v>
      </c>
      <c r="F29" s="47">
        <f>'Расчетный лист'!E9</f>
        <v>1.1979230416156672</v>
      </c>
      <c r="G29" s="47">
        <f>'Расчетный лист'!F9</f>
        <v>0.89788287943696454</v>
      </c>
      <c r="H29" s="47">
        <f>'Расчетный лист'!G9</f>
        <v>0.89788287943696454</v>
      </c>
      <c r="I29" s="47">
        <f>'Расчетный лист'!H9</f>
        <v>0.89788287943696454</v>
      </c>
      <c r="J29" s="47">
        <f>'Расчетный лист'!I9</f>
        <v>0.89788287943696454</v>
      </c>
      <c r="K29" s="47">
        <f>'Расчетный лист'!J9</f>
        <v>0.89788287943696454</v>
      </c>
      <c r="L29" s="47">
        <f>'Расчетный лист'!K9</f>
        <v>0.89788287943696454</v>
      </c>
      <c r="M29" s="47">
        <f>'Расчетный лист'!L9</f>
        <v>0.89788287943696454</v>
      </c>
      <c r="N29" s="47">
        <f>'Расчетный лист'!M9</f>
        <v>0.9568639075887394</v>
      </c>
      <c r="O29" s="277">
        <f>'Расчетный лист'!N9</f>
        <v>2.0643072980416157</v>
      </c>
      <c r="P29" s="47">
        <f t="shared" ref="P29:AM29" si="20">D29</f>
        <v>1.0236478733170136</v>
      </c>
      <c r="Q29" s="47">
        <f t="shared" si="20"/>
        <v>0.47207772337821302</v>
      </c>
      <c r="R29" s="47">
        <f t="shared" si="20"/>
        <v>1.1979230416156672</v>
      </c>
      <c r="S29" s="47">
        <f t="shared" si="20"/>
        <v>0.89788287943696454</v>
      </c>
      <c r="T29" s="47">
        <f t="shared" si="20"/>
        <v>0.89788287943696454</v>
      </c>
      <c r="U29" s="47">
        <f t="shared" si="20"/>
        <v>0.89788287943696454</v>
      </c>
      <c r="V29" s="47">
        <f t="shared" si="20"/>
        <v>0.89788287943696454</v>
      </c>
      <c r="W29" s="47">
        <f t="shared" si="20"/>
        <v>0.89788287943696454</v>
      </c>
      <c r="X29" s="47">
        <f t="shared" si="20"/>
        <v>0.89788287943696454</v>
      </c>
      <c r="Y29" s="47">
        <f t="shared" si="20"/>
        <v>0.89788287943696454</v>
      </c>
      <c r="Z29" s="47">
        <f t="shared" si="20"/>
        <v>0.9568639075887394</v>
      </c>
      <c r="AA29" s="277">
        <f t="shared" si="20"/>
        <v>2.0643072980416157</v>
      </c>
      <c r="AB29" s="47">
        <f t="shared" si="20"/>
        <v>1.0236478733170136</v>
      </c>
      <c r="AC29" s="47">
        <f t="shared" si="20"/>
        <v>0.47207772337821302</v>
      </c>
      <c r="AD29" s="47">
        <f t="shared" si="20"/>
        <v>1.1979230416156672</v>
      </c>
      <c r="AE29" s="47">
        <f t="shared" si="20"/>
        <v>0.89788287943696454</v>
      </c>
      <c r="AF29" s="47">
        <f t="shared" si="20"/>
        <v>0.89788287943696454</v>
      </c>
      <c r="AG29" s="47">
        <f t="shared" si="20"/>
        <v>0.89788287943696454</v>
      </c>
      <c r="AH29" s="47">
        <f t="shared" si="20"/>
        <v>0.89788287943696454</v>
      </c>
      <c r="AI29" s="47">
        <f t="shared" si="20"/>
        <v>0.89788287943696454</v>
      </c>
      <c r="AJ29" s="47">
        <f t="shared" si="20"/>
        <v>0.89788287943696454</v>
      </c>
      <c r="AK29" s="47">
        <f t="shared" si="20"/>
        <v>0.89788287943696454</v>
      </c>
      <c r="AL29" s="47">
        <f t="shared" si="20"/>
        <v>0.9568639075887394</v>
      </c>
      <c r="AM29" s="47">
        <f t="shared" si="20"/>
        <v>2.0643072980416157</v>
      </c>
      <c r="AN29" s="276"/>
      <c r="AO29" s="9"/>
      <c r="AP29" s="9"/>
      <c r="AQ29" s="9"/>
      <c r="AR29" s="9"/>
      <c r="AS29" s="9"/>
      <c r="AT29" s="9"/>
      <c r="AU29" s="9"/>
      <c r="AV29" s="9"/>
      <c r="AW29" s="9"/>
      <c r="AX29" s="9"/>
    </row>
    <row r="30" spans="1:50" ht="15.75" customHeight="1" outlineLevel="1" x14ac:dyDescent="0.2">
      <c r="A30" s="48"/>
      <c r="B30" s="49" t="s">
        <v>35</v>
      </c>
      <c r="C30" s="50">
        <f>'Расчетный лист'!G26</f>
        <v>41758</v>
      </c>
      <c r="D30" s="51">
        <f t="shared" ref="D30:AM30" si="21">ROUND(D29*$C30,0)</f>
        <v>42745</v>
      </c>
      <c r="E30" s="51">
        <f t="shared" si="21"/>
        <v>19713</v>
      </c>
      <c r="F30" s="51">
        <f t="shared" si="21"/>
        <v>50023</v>
      </c>
      <c r="G30" s="51">
        <f t="shared" si="21"/>
        <v>37494</v>
      </c>
      <c r="H30" s="51">
        <f t="shared" si="21"/>
        <v>37494</v>
      </c>
      <c r="I30" s="51">
        <f t="shared" si="21"/>
        <v>37494</v>
      </c>
      <c r="J30" s="51">
        <f t="shared" si="21"/>
        <v>37494</v>
      </c>
      <c r="K30" s="51">
        <f t="shared" si="21"/>
        <v>37494</v>
      </c>
      <c r="L30" s="51">
        <f t="shared" si="21"/>
        <v>37494</v>
      </c>
      <c r="M30" s="51">
        <f t="shared" si="21"/>
        <v>37494</v>
      </c>
      <c r="N30" s="51">
        <f t="shared" si="21"/>
        <v>39957</v>
      </c>
      <c r="O30" s="278">
        <f t="shared" si="21"/>
        <v>86201</v>
      </c>
      <c r="P30" s="51">
        <f t="shared" si="21"/>
        <v>42745</v>
      </c>
      <c r="Q30" s="51">
        <f t="shared" si="21"/>
        <v>19713</v>
      </c>
      <c r="R30" s="51">
        <f t="shared" si="21"/>
        <v>50023</v>
      </c>
      <c r="S30" s="51">
        <f t="shared" si="21"/>
        <v>37494</v>
      </c>
      <c r="T30" s="51">
        <f t="shared" si="21"/>
        <v>37494</v>
      </c>
      <c r="U30" s="51">
        <f t="shared" si="21"/>
        <v>37494</v>
      </c>
      <c r="V30" s="51">
        <f t="shared" si="21"/>
        <v>37494</v>
      </c>
      <c r="W30" s="51">
        <f t="shared" si="21"/>
        <v>37494</v>
      </c>
      <c r="X30" s="51">
        <f t="shared" si="21"/>
        <v>37494</v>
      </c>
      <c r="Y30" s="51">
        <f t="shared" si="21"/>
        <v>37494</v>
      </c>
      <c r="Z30" s="51">
        <f t="shared" si="21"/>
        <v>39957</v>
      </c>
      <c r="AA30" s="278">
        <f t="shared" si="21"/>
        <v>86201</v>
      </c>
      <c r="AB30" s="51">
        <f t="shared" si="21"/>
        <v>42745</v>
      </c>
      <c r="AC30" s="51">
        <f t="shared" si="21"/>
        <v>19713</v>
      </c>
      <c r="AD30" s="51">
        <f t="shared" si="21"/>
        <v>50023</v>
      </c>
      <c r="AE30" s="51">
        <f t="shared" si="21"/>
        <v>37494</v>
      </c>
      <c r="AF30" s="51">
        <f t="shared" si="21"/>
        <v>37494</v>
      </c>
      <c r="AG30" s="51">
        <f t="shared" si="21"/>
        <v>37494</v>
      </c>
      <c r="AH30" s="51">
        <f t="shared" si="21"/>
        <v>37494</v>
      </c>
      <c r="AI30" s="51">
        <f t="shared" si="21"/>
        <v>37494</v>
      </c>
      <c r="AJ30" s="51">
        <f t="shared" si="21"/>
        <v>37494</v>
      </c>
      <c r="AK30" s="51">
        <f t="shared" si="21"/>
        <v>37494</v>
      </c>
      <c r="AL30" s="51">
        <f t="shared" si="21"/>
        <v>39957</v>
      </c>
      <c r="AM30" s="51">
        <f t="shared" si="21"/>
        <v>86201</v>
      </c>
      <c r="AN30" s="276">
        <f>SUM(D30:O30)</f>
        <v>501097</v>
      </c>
      <c r="AO30" s="9"/>
      <c r="AP30" s="9"/>
      <c r="AQ30" s="9"/>
      <c r="AR30" s="9"/>
      <c r="AS30" s="9"/>
      <c r="AT30" s="9"/>
      <c r="AU30" s="9"/>
      <c r="AV30" s="9"/>
      <c r="AW30" s="9"/>
      <c r="AX30" s="9"/>
    </row>
    <row r="31" spans="1:50" ht="15.75" customHeight="1" outlineLevel="1" x14ac:dyDescent="0.2">
      <c r="A31" s="48"/>
      <c r="B31" s="49" t="s">
        <v>36</v>
      </c>
      <c r="C31" s="52">
        <f>'Расчетный лист'!B27</f>
        <v>0.25655445113675068</v>
      </c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66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66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76"/>
      <c r="AO31" s="9"/>
      <c r="AP31" s="9"/>
      <c r="AQ31" s="9"/>
      <c r="AR31" s="9"/>
      <c r="AS31" s="9"/>
      <c r="AT31" s="9"/>
      <c r="AU31" s="9"/>
      <c r="AV31" s="9"/>
      <c r="AW31" s="9"/>
      <c r="AX31" s="9"/>
    </row>
    <row r="32" spans="1:50" ht="15.75" customHeight="1" outlineLevel="1" x14ac:dyDescent="0.2">
      <c r="A32" s="48"/>
      <c r="B32" s="53" t="s">
        <v>37</v>
      </c>
      <c r="C32" s="54"/>
      <c r="D32" s="279">
        <f>'Расчетный лист'!E28</f>
        <v>9051</v>
      </c>
      <c r="E32" s="279">
        <f>'Расчетный лист'!F28</f>
        <v>3872</v>
      </c>
      <c r="F32" s="279">
        <f>'Расчетный лист'!G28</f>
        <v>12585</v>
      </c>
      <c r="G32" s="51">
        <f t="shared" ref="G32:AM32" si="22">ROUND(G30*$C31,0)</f>
        <v>9619</v>
      </c>
      <c r="H32" s="51">
        <f t="shared" si="22"/>
        <v>9619</v>
      </c>
      <c r="I32" s="51">
        <f t="shared" si="22"/>
        <v>9619</v>
      </c>
      <c r="J32" s="51">
        <f t="shared" si="22"/>
        <v>9619</v>
      </c>
      <c r="K32" s="51">
        <f t="shared" si="22"/>
        <v>9619</v>
      </c>
      <c r="L32" s="51">
        <f t="shared" si="22"/>
        <v>9619</v>
      </c>
      <c r="M32" s="51">
        <f t="shared" si="22"/>
        <v>9619</v>
      </c>
      <c r="N32" s="51">
        <f t="shared" si="22"/>
        <v>10251</v>
      </c>
      <c r="O32" s="278">
        <f t="shared" si="22"/>
        <v>22115</v>
      </c>
      <c r="P32" s="51">
        <f t="shared" si="22"/>
        <v>10966</v>
      </c>
      <c r="Q32" s="51">
        <f t="shared" si="22"/>
        <v>5057</v>
      </c>
      <c r="R32" s="51">
        <f t="shared" si="22"/>
        <v>12834</v>
      </c>
      <c r="S32" s="51">
        <f t="shared" si="22"/>
        <v>9619</v>
      </c>
      <c r="T32" s="51">
        <f t="shared" si="22"/>
        <v>9619</v>
      </c>
      <c r="U32" s="51">
        <f t="shared" si="22"/>
        <v>9619</v>
      </c>
      <c r="V32" s="51">
        <f t="shared" si="22"/>
        <v>9619</v>
      </c>
      <c r="W32" s="51">
        <f t="shared" si="22"/>
        <v>9619</v>
      </c>
      <c r="X32" s="51">
        <f t="shared" si="22"/>
        <v>9619</v>
      </c>
      <c r="Y32" s="51">
        <f t="shared" si="22"/>
        <v>9619</v>
      </c>
      <c r="Z32" s="51">
        <f t="shared" si="22"/>
        <v>10251</v>
      </c>
      <c r="AA32" s="278">
        <f t="shared" si="22"/>
        <v>22115</v>
      </c>
      <c r="AB32" s="51">
        <f t="shared" si="22"/>
        <v>10966</v>
      </c>
      <c r="AC32" s="51">
        <f t="shared" si="22"/>
        <v>5057</v>
      </c>
      <c r="AD32" s="51">
        <f t="shared" si="22"/>
        <v>12834</v>
      </c>
      <c r="AE32" s="51">
        <f t="shared" si="22"/>
        <v>9619</v>
      </c>
      <c r="AF32" s="51">
        <f t="shared" si="22"/>
        <v>9619</v>
      </c>
      <c r="AG32" s="51">
        <f t="shared" si="22"/>
        <v>9619</v>
      </c>
      <c r="AH32" s="51">
        <f t="shared" si="22"/>
        <v>9619</v>
      </c>
      <c r="AI32" s="51">
        <f t="shared" si="22"/>
        <v>9619</v>
      </c>
      <c r="AJ32" s="51">
        <f t="shared" si="22"/>
        <v>9619</v>
      </c>
      <c r="AK32" s="51">
        <f t="shared" si="22"/>
        <v>9619</v>
      </c>
      <c r="AL32" s="51">
        <f t="shared" si="22"/>
        <v>10251</v>
      </c>
      <c r="AM32" s="51">
        <f t="shared" si="22"/>
        <v>22115</v>
      </c>
      <c r="AN32" s="276">
        <f>SUM(D32:O32)</f>
        <v>125207</v>
      </c>
      <c r="AO32" s="9"/>
      <c r="AP32" s="9"/>
      <c r="AQ32" s="9"/>
      <c r="AR32" s="9"/>
      <c r="AS32" s="9"/>
      <c r="AT32" s="9"/>
      <c r="AU32" s="9"/>
      <c r="AV32" s="9"/>
      <c r="AW32" s="9"/>
      <c r="AX32" s="9"/>
    </row>
    <row r="33" spans="1:50" ht="15.75" customHeight="1" outlineLevel="1" x14ac:dyDescent="0.2">
      <c r="A33" s="16"/>
      <c r="B33" s="49" t="s">
        <v>38</v>
      </c>
      <c r="C33" s="55">
        <f>'Расчетный лист'!B29</f>
        <v>0.28090666632940853</v>
      </c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278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278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1"/>
      <c r="AN33" s="276"/>
      <c r="AO33" s="9"/>
      <c r="AP33" s="9"/>
      <c r="AQ33" s="9"/>
      <c r="AR33" s="9"/>
      <c r="AS33" s="9"/>
      <c r="AT33" s="9"/>
      <c r="AU33" s="9"/>
      <c r="AV33" s="9"/>
      <c r="AW33" s="9"/>
      <c r="AX33" s="9"/>
    </row>
    <row r="34" spans="1:50" ht="15.75" customHeight="1" outlineLevel="1" x14ac:dyDescent="0.2">
      <c r="A34" s="48"/>
      <c r="B34" s="53" t="s">
        <v>39</v>
      </c>
      <c r="C34" s="281"/>
      <c r="D34" s="279">
        <f>'Расчетный лист'!E30</f>
        <v>2680</v>
      </c>
      <c r="E34" s="279">
        <f>'Расчетный лист'!F30</f>
        <v>1162</v>
      </c>
      <c r="F34" s="279">
        <f>'Расчетный лист'!G30</f>
        <v>3507</v>
      </c>
      <c r="G34" s="51">
        <f t="shared" ref="G34:AM34" si="23">ROUND(G32*$C33,0)</f>
        <v>2702</v>
      </c>
      <c r="H34" s="51">
        <f t="shared" si="23"/>
        <v>2702</v>
      </c>
      <c r="I34" s="51">
        <f t="shared" si="23"/>
        <v>2702</v>
      </c>
      <c r="J34" s="51">
        <f t="shared" si="23"/>
        <v>2702</v>
      </c>
      <c r="K34" s="51">
        <f t="shared" si="23"/>
        <v>2702</v>
      </c>
      <c r="L34" s="51">
        <f t="shared" si="23"/>
        <v>2702</v>
      </c>
      <c r="M34" s="51">
        <f t="shared" si="23"/>
        <v>2702</v>
      </c>
      <c r="N34" s="51">
        <f t="shared" si="23"/>
        <v>2880</v>
      </c>
      <c r="O34" s="278">
        <f t="shared" si="23"/>
        <v>6212</v>
      </c>
      <c r="P34" s="51">
        <f t="shared" si="23"/>
        <v>3080</v>
      </c>
      <c r="Q34" s="51">
        <f t="shared" si="23"/>
        <v>1421</v>
      </c>
      <c r="R34" s="51">
        <f t="shared" si="23"/>
        <v>3605</v>
      </c>
      <c r="S34" s="51">
        <f t="shared" si="23"/>
        <v>2702</v>
      </c>
      <c r="T34" s="51">
        <f t="shared" si="23"/>
        <v>2702</v>
      </c>
      <c r="U34" s="51">
        <f t="shared" si="23"/>
        <v>2702</v>
      </c>
      <c r="V34" s="51">
        <f t="shared" si="23"/>
        <v>2702</v>
      </c>
      <c r="W34" s="51">
        <f t="shared" si="23"/>
        <v>2702</v>
      </c>
      <c r="X34" s="51">
        <f t="shared" si="23"/>
        <v>2702</v>
      </c>
      <c r="Y34" s="51">
        <f t="shared" si="23"/>
        <v>2702</v>
      </c>
      <c r="Z34" s="51">
        <f t="shared" si="23"/>
        <v>2880</v>
      </c>
      <c r="AA34" s="278">
        <f t="shared" si="23"/>
        <v>6212</v>
      </c>
      <c r="AB34" s="51">
        <f t="shared" si="23"/>
        <v>3080</v>
      </c>
      <c r="AC34" s="51">
        <f t="shared" si="23"/>
        <v>1421</v>
      </c>
      <c r="AD34" s="51">
        <f t="shared" si="23"/>
        <v>3605</v>
      </c>
      <c r="AE34" s="51">
        <f t="shared" si="23"/>
        <v>2702</v>
      </c>
      <c r="AF34" s="51">
        <f t="shared" si="23"/>
        <v>2702</v>
      </c>
      <c r="AG34" s="51">
        <f t="shared" si="23"/>
        <v>2702</v>
      </c>
      <c r="AH34" s="51">
        <f t="shared" si="23"/>
        <v>2702</v>
      </c>
      <c r="AI34" s="51">
        <f t="shared" si="23"/>
        <v>2702</v>
      </c>
      <c r="AJ34" s="51">
        <f t="shared" si="23"/>
        <v>2702</v>
      </c>
      <c r="AK34" s="51">
        <f t="shared" si="23"/>
        <v>2702</v>
      </c>
      <c r="AL34" s="51">
        <f t="shared" si="23"/>
        <v>2880</v>
      </c>
      <c r="AM34" s="51">
        <f t="shared" si="23"/>
        <v>6212</v>
      </c>
      <c r="AN34" s="276">
        <f>SUM(D34:O34)</f>
        <v>35355</v>
      </c>
      <c r="AO34" s="9"/>
      <c r="AP34" s="9"/>
      <c r="AQ34" s="9"/>
      <c r="AR34" s="9"/>
      <c r="AS34" s="9"/>
      <c r="AT34" s="9"/>
      <c r="AU34" s="9"/>
      <c r="AV34" s="9"/>
      <c r="AW34" s="9"/>
      <c r="AX34" s="9"/>
    </row>
    <row r="35" spans="1:50" ht="15.75" customHeight="1" outlineLevel="1" x14ac:dyDescent="0.2">
      <c r="A35" s="16"/>
      <c r="B35" s="49" t="s">
        <v>40</v>
      </c>
      <c r="C35" s="55">
        <f>'Расчетный лист'!B31</f>
        <v>0.91101158833203877</v>
      </c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278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278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1"/>
      <c r="AN35" s="276"/>
      <c r="AO35" s="9"/>
      <c r="AP35" s="9"/>
      <c r="AQ35" s="9"/>
      <c r="AR35" s="9"/>
      <c r="AS35" s="9"/>
      <c r="AT35" s="9"/>
      <c r="AU35" s="9"/>
      <c r="AV35" s="9"/>
      <c r="AW35" s="9"/>
      <c r="AX35" s="9"/>
    </row>
    <row r="36" spans="1:50" ht="15.75" customHeight="1" outlineLevel="1" x14ac:dyDescent="0.2">
      <c r="A36" s="16"/>
      <c r="B36" s="53" t="s">
        <v>41</v>
      </c>
      <c r="C36" s="281"/>
      <c r="D36" s="279">
        <f>'Расчетный лист'!E32-40</f>
        <v>2429</v>
      </c>
      <c r="E36" s="279">
        <f>'Расчетный лист'!F32-5</f>
        <v>986</v>
      </c>
      <c r="F36" s="279">
        <f>'Расчетный лист'!G32</f>
        <v>3232</v>
      </c>
      <c r="G36" s="51">
        <f t="shared" ref="G36:AM36" si="24">ROUND(G34*$C35,0)</f>
        <v>2462</v>
      </c>
      <c r="H36" s="51">
        <f t="shared" si="24"/>
        <v>2462</v>
      </c>
      <c r="I36" s="51">
        <f t="shared" si="24"/>
        <v>2462</v>
      </c>
      <c r="J36" s="51">
        <f t="shared" si="24"/>
        <v>2462</v>
      </c>
      <c r="K36" s="51">
        <f t="shared" si="24"/>
        <v>2462</v>
      </c>
      <c r="L36" s="51">
        <f t="shared" si="24"/>
        <v>2462</v>
      </c>
      <c r="M36" s="51">
        <f t="shared" si="24"/>
        <v>2462</v>
      </c>
      <c r="N36" s="51">
        <f t="shared" si="24"/>
        <v>2624</v>
      </c>
      <c r="O36" s="278">
        <f t="shared" si="24"/>
        <v>5659</v>
      </c>
      <c r="P36" s="51">
        <f t="shared" si="24"/>
        <v>2806</v>
      </c>
      <c r="Q36" s="51">
        <f t="shared" si="24"/>
        <v>1295</v>
      </c>
      <c r="R36" s="51">
        <f t="shared" si="24"/>
        <v>3284</v>
      </c>
      <c r="S36" s="51">
        <f t="shared" si="24"/>
        <v>2462</v>
      </c>
      <c r="T36" s="51">
        <f t="shared" si="24"/>
        <v>2462</v>
      </c>
      <c r="U36" s="51">
        <f t="shared" si="24"/>
        <v>2462</v>
      </c>
      <c r="V36" s="51">
        <f t="shared" si="24"/>
        <v>2462</v>
      </c>
      <c r="W36" s="51">
        <f t="shared" si="24"/>
        <v>2462</v>
      </c>
      <c r="X36" s="51">
        <f t="shared" si="24"/>
        <v>2462</v>
      </c>
      <c r="Y36" s="51">
        <f t="shared" si="24"/>
        <v>2462</v>
      </c>
      <c r="Z36" s="51">
        <f t="shared" si="24"/>
        <v>2624</v>
      </c>
      <c r="AA36" s="278">
        <f t="shared" si="24"/>
        <v>5659</v>
      </c>
      <c r="AB36" s="51">
        <f t="shared" si="24"/>
        <v>2806</v>
      </c>
      <c r="AC36" s="51">
        <f t="shared" si="24"/>
        <v>1295</v>
      </c>
      <c r="AD36" s="51">
        <f t="shared" si="24"/>
        <v>3284</v>
      </c>
      <c r="AE36" s="51">
        <f t="shared" si="24"/>
        <v>2462</v>
      </c>
      <c r="AF36" s="51">
        <f t="shared" si="24"/>
        <v>2462</v>
      </c>
      <c r="AG36" s="51">
        <f t="shared" si="24"/>
        <v>2462</v>
      </c>
      <c r="AH36" s="51">
        <f t="shared" si="24"/>
        <v>2462</v>
      </c>
      <c r="AI36" s="51">
        <f t="shared" si="24"/>
        <v>2462</v>
      </c>
      <c r="AJ36" s="51">
        <f t="shared" si="24"/>
        <v>2462</v>
      </c>
      <c r="AK36" s="51">
        <f t="shared" si="24"/>
        <v>2462</v>
      </c>
      <c r="AL36" s="51">
        <f t="shared" si="24"/>
        <v>2624</v>
      </c>
      <c r="AM36" s="51">
        <f t="shared" si="24"/>
        <v>5659</v>
      </c>
      <c r="AN36" s="276">
        <f>SUM(D36:O36)</f>
        <v>32164</v>
      </c>
      <c r="AO36" s="9"/>
      <c r="AP36" s="9"/>
      <c r="AQ36" s="9"/>
      <c r="AR36" s="9"/>
      <c r="AS36" s="9"/>
      <c r="AT36" s="9"/>
      <c r="AU36" s="9"/>
      <c r="AV36" s="9"/>
      <c r="AW36" s="9"/>
      <c r="AX36" s="9"/>
    </row>
    <row r="37" spans="1:50" ht="15.75" customHeight="1" outlineLevel="1" x14ac:dyDescent="0.2">
      <c r="A37" s="16"/>
      <c r="B37" s="53" t="s">
        <v>44</v>
      </c>
      <c r="C37" s="58">
        <v>490</v>
      </c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278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  <c r="AA37" s="278"/>
      <c r="AB37" s="51"/>
      <c r="AC37" s="51"/>
      <c r="AD37" s="51"/>
      <c r="AE37" s="51"/>
      <c r="AF37" s="51"/>
      <c r="AG37" s="51"/>
      <c r="AH37" s="51"/>
      <c r="AI37" s="51"/>
      <c r="AJ37" s="51"/>
      <c r="AK37" s="51"/>
      <c r="AL37" s="51"/>
      <c r="AM37" s="51"/>
      <c r="AN37" s="276"/>
      <c r="AO37" s="9"/>
      <c r="AP37" s="9"/>
      <c r="AQ37" s="9"/>
      <c r="AR37" s="9"/>
      <c r="AS37" s="9"/>
      <c r="AT37" s="9"/>
      <c r="AU37" s="9"/>
      <c r="AV37" s="9"/>
      <c r="AW37" s="9"/>
      <c r="AX37" s="9"/>
    </row>
    <row r="38" spans="1:50" ht="17.25" customHeight="1" outlineLevel="1" x14ac:dyDescent="0.2">
      <c r="A38" s="48"/>
      <c r="B38" s="228" t="s">
        <v>236</v>
      </c>
      <c r="C38" s="281"/>
      <c r="D38" s="282">
        <v>492</v>
      </c>
      <c r="E38" s="282">
        <v>497</v>
      </c>
      <c r="F38" s="283">
        <f>'Расчетный лист'!G33</f>
        <v>469</v>
      </c>
      <c r="G38" s="51"/>
      <c r="H38" s="51"/>
      <c r="I38" s="51"/>
      <c r="J38" s="51"/>
      <c r="K38" s="51"/>
      <c r="L38" s="51"/>
      <c r="M38" s="51"/>
      <c r="N38" s="51"/>
      <c r="O38" s="278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278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276"/>
      <c r="AO38" s="9"/>
      <c r="AP38" s="9"/>
      <c r="AQ38" s="9"/>
      <c r="AR38" s="9"/>
      <c r="AS38" s="9"/>
      <c r="AT38" s="9"/>
      <c r="AU38" s="9"/>
      <c r="AV38" s="9"/>
      <c r="AW38" s="9"/>
      <c r="AX38" s="9"/>
    </row>
    <row r="39" spans="1:50" ht="21.75" customHeight="1" outlineLevel="1" x14ac:dyDescent="0.2">
      <c r="A39" s="48"/>
      <c r="B39" s="228" t="s">
        <v>237</v>
      </c>
      <c r="C39" s="52"/>
      <c r="D39" s="51">
        <f t="shared" ref="D39:AM39" si="25">D28-D28*$C39</f>
        <v>1195068</v>
      </c>
      <c r="E39" s="51">
        <f t="shared" si="25"/>
        <v>490042</v>
      </c>
      <c r="F39" s="51">
        <f t="shared" si="25"/>
        <v>1515808</v>
      </c>
      <c r="G39" s="51">
        <f t="shared" si="25"/>
        <v>1206380</v>
      </c>
      <c r="H39" s="51">
        <f t="shared" si="25"/>
        <v>1206380</v>
      </c>
      <c r="I39" s="51">
        <f t="shared" si="25"/>
        <v>1206380</v>
      </c>
      <c r="J39" s="51">
        <f t="shared" si="25"/>
        <v>1206380</v>
      </c>
      <c r="K39" s="51">
        <f t="shared" si="25"/>
        <v>1206380</v>
      </c>
      <c r="L39" s="51">
        <f t="shared" si="25"/>
        <v>1206380</v>
      </c>
      <c r="M39" s="51">
        <f t="shared" si="25"/>
        <v>1206380</v>
      </c>
      <c r="N39" s="51">
        <f t="shared" si="25"/>
        <v>1285760</v>
      </c>
      <c r="O39" s="278">
        <f t="shared" si="25"/>
        <v>2772910</v>
      </c>
      <c r="P39" s="51">
        <f t="shared" si="25"/>
        <v>1374940</v>
      </c>
      <c r="Q39" s="51">
        <f t="shared" si="25"/>
        <v>634550</v>
      </c>
      <c r="R39" s="51">
        <f t="shared" si="25"/>
        <v>1609160</v>
      </c>
      <c r="S39" s="51">
        <f t="shared" si="25"/>
        <v>1206380</v>
      </c>
      <c r="T39" s="51">
        <f t="shared" si="25"/>
        <v>1206380</v>
      </c>
      <c r="U39" s="51">
        <f t="shared" si="25"/>
        <v>1206380</v>
      </c>
      <c r="V39" s="51">
        <f t="shared" si="25"/>
        <v>1206380</v>
      </c>
      <c r="W39" s="51">
        <f t="shared" si="25"/>
        <v>1206380</v>
      </c>
      <c r="X39" s="51">
        <f t="shared" si="25"/>
        <v>1206380</v>
      </c>
      <c r="Y39" s="51">
        <f t="shared" si="25"/>
        <v>1206380</v>
      </c>
      <c r="Z39" s="51">
        <f t="shared" si="25"/>
        <v>1285760</v>
      </c>
      <c r="AA39" s="278">
        <f t="shared" si="25"/>
        <v>2772910</v>
      </c>
      <c r="AB39" s="51">
        <f t="shared" si="25"/>
        <v>1374940</v>
      </c>
      <c r="AC39" s="51">
        <f t="shared" si="25"/>
        <v>634550</v>
      </c>
      <c r="AD39" s="51">
        <f t="shared" si="25"/>
        <v>1609160</v>
      </c>
      <c r="AE39" s="51">
        <f t="shared" si="25"/>
        <v>1206380</v>
      </c>
      <c r="AF39" s="51">
        <f t="shared" si="25"/>
        <v>1206380</v>
      </c>
      <c r="AG39" s="51">
        <f t="shared" si="25"/>
        <v>1206380</v>
      </c>
      <c r="AH39" s="51">
        <f t="shared" si="25"/>
        <v>1206380</v>
      </c>
      <c r="AI39" s="51">
        <f t="shared" si="25"/>
        <v>1206380</v>
      </c>
      <c r="AJ39" s="51">
        <f t="shared" si="25"/>
        <v>1206380</v>
      </c>
      <c r="AK39" s="51">
        <f t="shared" si="25"/>
        <v>1206380</v>
      </c>
      <c r="AL39" s="51">
        <f t="shared" si="25"/>
        <v>1285760</v>
      </c>
      <c r="AM39" s="51">
        <f t="shared" si="25"/>
        <v>2772910</v>
      </c>
      <c r="AN39" s="276">
        <f t="shared" ref="AN39:AN40" si="26">SUM(D39:O39)</f>
        <v>15704248</v>
      </c>
      <c r="AO39" s="9"/>
      <c r="AP39" s="9"/>
      <c r="AQ39" s="9"/>
      <c r="AR39" s="9"/>
      <c r="AS39" s="9"/>
      <c r="AT39" s="9"/>
      <c r="AU39" s="9"/>
      <c r="AV39" s="9"/>
      <c r="AW39" s="9"/>
      <c r="AX39" s="9"/>
    </row>
    <row r="40" spans="1:50" ht="15.75" customHeight="1" x14ac:dyDescent="0.2">
      <c r="A40" s="16"/>
      <c r="B40" s="248" t="s">
        <v>239</v>
      </c>
      <c r="C40" s="44" t="s">
        <v>31</v>
      </c>
      <c r="D40" s="60">
        <f t="shared" ref="D40:F40" si="27">D48*D50</f>
        <v>378350</v>
      </c>
      <c r="E40" s="60">
        <f t="shared" si="27"/>
        <v>173817</v>
      </c>
      <c r="F40" s="60">
        <f t="shared" si="27"/>
        <v>409210</v>
      </c>
      <c r="G40" s="60">
        <f t="shared" ref="G40:AM40" si="28">$C49*G48</f>
        <v>292600</v>
      </c>
      <c r="H40" s="60">
        <f t="shared" si="28"/>
        <v>292600</v>
      </c>
      <c r="I40" s="60">
        <f t="shared" si="28"/>
        <v>292600</v>
      </c>
      <c r="J40" s="60">
        <f t="shared" si="28"/>
        <v>292600</v>
      </c>
      <c r="K40" s="60">
        <f t="shared" si="28"/>
        <v>292600</v>
      </c>
      <c r="L40" s="60">
        <f t="shared" si="28"/>
        <v>292600</v>
      </c>
      <c r="M40" s="60">
        <f t="shared" si="28"/>
        <v>292600</v>
      </c>
      <c r="N40" s="60">
        <f t="shared" si="28"/>
        <v>336490</v>
      </c>
      <c r="O40" s="284">
        <f t="shared" si="28"/>
        <v>706090</v>
      </c>
      <c r="P40" s="60">
        <f t="shared" si="28"/>
        <v>328020</v>
      </c>
      <c r="Q40" s="60">
        <f t="shared" si="28"/>
        <v>161700</v>
      </c>
      <c r="R40" s="60">
        <f t="shared" si="28"/>
        <v>387310</v>
      </c>
      <c r="S40" s="60">
        <f t="shared" si="28"/>
        <v>292600</v>
      </c>
      <c r="T40" s="60">
        <f t="shared" si="28"/>
        <v>292600</v>
      </c>
      <c r="U40" s="60">
        <f t="shared" si="28"/>
        <v>292600</v>
      </c>
      <c r="V40" s="60">
        <f t="shared" si="28"/>
        <v>292600</v>
      </c>
      <c r="W40" s="60">
        <f t="shared" si="28"/>
        <v>292600</v>
      </c>
      <c r="X40" s="60">
        <f t="shared" si="28"/>
        <v>292600</v>
      </c>
      <c r="Y40" s="60">
        <f t="shared" si="28"/>
        <v>292600</v>
      </c>
      <c r="Z40" s="60">
        <f t="shared" si="28"/>
        <v>336490</v>
      </c>
      <c r="AA40" s="284">
        <f t="shared" si="28"/>
        <v>706090</v>
      </c>
      <c r="AB40" s="60">
        <f t="shared" si="28"/>
        <v>328020</v>
      </c>
      <c r="AC40" s="60">
        <f t="shared" si="28"/>
        <v>161700</v>
      </c>
      <c r="AD40" s="60">
        <f t="shared" si="28"/>
        <v>387310</v>
      </c>
      <c r="AE40" s="60">
        <f t="shared" si="28"/>
        <v>292600</v>
      </c>
      <c r="AF40" s="60">
        <f t="shared" si="28"/>
        <v>292600</v>
      </c>
      <c r="AG40" s="60">
        <f t="shared" si="28"/>
        <v>292600</v>
      </c>
      <c r="AH40" s="60">
        <f t="shared" si="28"/>
        <v>292600</v>
      </c>
      <c r="AI40" s="60">
        <f t="shared" si="28"/>
        <v>292600</v>
      </c>
      <c r="AJ40" s="60">
        <f t="shared" si="28"/>
        <v>292600</v>
      </c>
      <c r="AK40" s="60">
        <f t="shared" si="28"/>
        <v>292600</v>
      </c>
      <c r="AL40" s="60">
        <f t="shared" si="28"/>
        <v>336490</v>
      </c>
      <c r="AM40" s="60">
        <f t="shared" si="28"/>
        <v>706090</v>
      </c>
      <c r="AN40" s="276">
        <f t="shared" si="26"/>
        <v>4052157</v>
      </c>
      <c r="AO40" s="9"/>
      <c r="AP40" s="9"/>
      <c r="AQ40" s="9"/>
      <c r="AR40" s="9"/>
      <c r="AS40" s="9"/>
      <c r="AT40" s="9"/>
      <c r="AU40" s="9"/>
      <c r="AV40" s="9"/>
      <c r="AW40" s="9"/>
      <c r="AX40" s="9"/>
    </row>
    <row r="41" spans="1:50" ht="15.75" customHeight="1" outlineLevel="1" x14ac:dyDescent="0.2">
      <c r="A41" s="16"/>
      <c r="B41" s="46" t="s">
        <v>33</v>
      </c>
      <c r="C41" s="7" t="s">
        <v>34</v>
      </c>
      <c r="D41" s="47">
        <f>'Расчетный лист'!C11</f>
        <v>0.99432880659697742</v>
      </c>
      <c r="E41" s="47">
        <f>'Расчетный лист'!D11</f>
        <v>0.48971521412586988</v>
      </c>
      <c r="F41" s="47">
        <f>'Расчетный лист'!E11</f>
        <v>1.1697985959964441</v>
      </c>
      <c r="G41" s="47">
        <f>'Расчетный лист'!F11</f>
        <v>0.88461420557309711</v>
      </c>
      <c r="H41" s="47">
        <f>'Расчетный лист'!G11</f>
        <v>0.88461420557309711</v>
      </c>
      <c r="I41" s="47">
        <f>'Расчетный лист'!H11</f>
        <v>0.88461420557309711</v>
      </c>
      <c r="J41" s="47">
        <f>'Расчетный лист'!I11</f>
        <v>0.88461420557309711</v>
      </c>
      <c r="K41" s="47">
        <f>'Расчетный лист'!J11</f>
        <v>0.88461420557309711</v>
      </c>
      <c r="L41" s="47">
        <f>'Расчетный лист'!K11</f>
        <v>0.88461420557309711</v>
      </c>
      <c r="M41" s="47">
        <f>'Расчетный лист'!L11</f>
        <v>0.88461420557309711</v>
      </c>
      <c r="N41" s="47">
        <f>'Расчетный лист'!M11</f>
        <v>1.0175040618006805</v>
      </c>
      <c r="O41" s="277">
        <f>'Расчетный лист'!N11</f>
        <v>2.1363538824683488</v>
      </c>
      <c r="P41" s="47">
        <f t="shared" ref="P41:AM41" si="29">D41</f>
        <v>0.99432880659697742</v>
      </c>
      <c r="Q41" s="47">
        <f t="shared" si="29"/>
        <v>0.48971521412586988</v>
      </c>
      <c r="R41" s="47">
        <f t="shared" si="29"/>
        <v>1.1697985959964441</v>
      </c>
      <c r="S41" s="47">
        <f t="shared" si="29"/>
        <v>0.88461420557309711</v>
      </c>
      <c r="T41" s="47">
        <f t="shared" si="29"/>
        <v>0.88461420557309711</v>
      </c>
      <c r="U41" s="47">
        <f t="shared" si="29"/>
        <v>0.88461420557309711</v>
      </c>
      <c r="V41" s="47">
        <f t="shared" si="29"/>
        <v>0.88461420557309711</v>
      </c>
      <c r="W41" s="47">
        <f t="shared" si="29"/>
        <v>0.88461420557309711</v>
      </c>
      <c r="X41" s="47">
        <f t="shared" si="29"/>
        <v>0.88461420557309711</v>
      </c>
      <c r="Y41" s="47">
        <f t="shared" si="29"/>
        <v>0.88461420557309711</v>
      </c>
      <c r="Z41" s="47">
        <f t="shared" si="29"/>
        <v>1.0175040618006805</v>
      </c>
      <c r="AA41" s="277">
        <f t="shared" si="29"/>
        <v>2.1363538824683488</v>
      </c>
      <c r="AB41" s="47">
        <f t="shared" si="29"/>
        <v>0.99432880659697742</v>
      </c>
      <c r="AC41" s="47">
        <f t="shared" si="29"/>
        <v>0.48971521412586988</v>
      </c>
      <c r="AD41" s="47">
        <f t="shared" si="29"/>
        <v>1.1697985959964441</v>
      </c>
      <c r="AE41" s="47">
        <f t="shared" si="29"/>
        <v>0.88461420557309711</v>
      </c>
      <c r="AF41" s="47">
        <f t="shared" si="29"/>
        <v>0.88461420557309711</v>
      </c>
      <c r="AG41" s="47">
        <f t="shared" si="29"/>
        <v>0.88461420557309711</v>
      </c>
      <c r="AH41" s="47">
        <f t="shared" si="29"/>
        <v>0.88461420557309711</v>
      </c>
      <c r="AI41" s="47">
        <f t="shared" si="29"/>
        <v>0.88461420557309711</v>
      </c>
      <c r="AJ41" s="47">
        <f t="shared" si="29"/>
        <v>0.88461420557309711</v>
      </c>
      <c r="AK41" s="47">
        <f t="shared" si="29"/>
        <v>0.88461420557309711</v>
      </c>
      <c r="AL41" s="47">
        <f t="shared" si="29"/>
        <v>1.0175040618006805</v>
      </c>
      <c r="AM41" s="47">
        <f t="shared" si="29"/>
        <v>2.1363538824683488</v>
      </c>
      <c r="AN41" s="276"/>
      <c r="AO41" s="9"/>
      <c r="AP41" s="9"/>
      <c r="AQ41" s="9"/>
      <c r="AR41" s="9"/>
      <c r="AS41" s="9"/>
      <c r="AT41" s="9"/>
      <c r="AU41" s="9"/>
      <c r="AV41" s="9"/>
      <c r="AW41" s="9"/>
      <c r="AX41" s="9"/>
    </row>
    <row r="42" spans="1:50" ht="15.75" customHeight="1" outlineLevel="1" x14ac:dyDescent="0.2">
      <c r="A42" s="16"/>
      <c r="B42" s="49" t="s">
        <v>35</v>
      </c>
      <c r="C42" s="50">
        <f>'Расчетный лист'!B10</f>
        <v>10873.666666666666</v>
      </c>
      <c r="D42" s="51">
        <f t="shared" ref="D42:AM42" si="30">ROUND(D41*$C42,0)</f>
        <v>10812</v>
      </c>
      <c r="E42" s="51">
        <f t="shared" si="30"/>
        <v>5325</v>
      </c>
      <c r="F42" s="51">
        <f t="shared" si="30"/>
        <v>12720</v>
      </c>
      <c r="G42" s="51">
        <f t="shared" si="30"/>
        <v>9619</v>
      </c>
      <c r="H42" s="51">
        <f t="shared" si="30"/>
        <v>9619</v>
      </c>
      <c r="I42" s="51">
        <f t="shared" si="30"/>
        <v>9619</v>
      </c>
      <c r="J42" s="51">
        <f t="shared" si="30"/>
        <v>9619</v>
      </c>
      <c r="K42" s="51">
        <f t="shared" si="30"/>
        <v>9619</v>
      </c>
      <c r="L42" s="51">
        <f t="shared" si="30"/>
        <v>9619</v>
      </c>
      <c r="M42" s="51">
        <f t="shared" si="30"/>
        <v>9619</v>
      </c>
      <c r="N42" s="51">
        <f t="shared" si="30"/>
        <v>11064</v>
      </c>
      <c r="O42" s="278">
        <f t="shared" si="30"/>
        <v>23230</v>
      </c>
      <c r="P42" s="51">
        <f t="shared" si="30"/>
        <v>10812</v>
      </c>
      <c r="Q42" s="51">
        <f t="shared" si="30"/>
        <v>5325</v>
      </c>
      <c r="R42" s="51">
        <f t="shared" si="30"/>
        <v>12720</v>
      </c>
      <c r="S42" s="51">
        <f t="shared" si="30"/>
        <v>9619</v>
      </c>
      <c r="T42" s="51">
        <f t="shared" si="30"/>
        <v>9619</v>
      </c>
      <c r="U42" s="51">
        <f t="shared" si="30"/>
        <v>9619</v>
      </c>
      <c r="V42" s="51">
        <f t="shared" si="30"/>
        <v>9619</v>
      </c>
      <c r="W42" s="51">
        <f t="shared" si="30"/>
        <v>9619</v>
      </c>
      <c r="X42" s="51">
        <f t="shared" si="30"/>
        <v>9619</v>
      </c>
      <c r="Y42" s="51">
        <f t="shared" si="30"/>
        <v>9619</v>
      </c>
      <c r="Z42" s="51">
        <f t="shared" si="30"/>
        <v>11064</v>
      </c>
      <c r="AA42" s="278">
        <f t="shared" si="30"/>
        <v>23230</v>
      </c>
      <c r="AB42" s="51">
        <f t="shared" si="30"/>
        <v>10812</v>
      </c>
      <c r="AC42" s="51">
        <f t="shared" si="30"/>
        <v>5325</v>
      </c>
      <c r="AD42" s="51">
        <f t="shared" si="30"/>
        <v>12720</v>
      </c>
      <c r="AE42" s="51">
        <f t="shared" si="30"/>
        <v>9619</v>
      </c>
      <c r="AF42" s="51">
        <f t="shared" si="30"/>
        <v>9619</v>
      </c>
      <c r="AG42" s="51">
        <f t="shared" si="30"/>
        <v>9619</v>
      </c>
      <c r="AH42" s="51">
        <f t="shared" si="30"/>
        <v>9619</v>
      </c>
      <c r="AI42" s="51">
        <f t="shared" si="30"/>
        <v>9619</v>
      </c>
      <c r="AJ42" s="51">
        <f t="shared" si="30"/>
        <v>9619</v>
      </c>
      <c r="AK42" s="51">
        <f t="shared" si="30"/>
        <v>9619</v>
      </c>
      <c r="AL42" s="51">
        <f t="shared" si="30"/>
        <v>11064</v>
      </c>
      <c r="AM42" s="51">
        <f t="shared" si="30"/>
        <v>23230</v>
      </c>
      <c r="AN42" s="276">
        <f>SUM(D42:O42)</f>
        <v>130484</v>
      </c>
      <c r="AO42" s="9"/>
      <c r="AP42" s="9"/>
      <c r="AQ42" s="9"/>
      <c r="AR42" s="9"/>
      <c r="AS42" s="9"/>
      <c r="AT42" s="9"/>
      <c r="AU42" s="9"/>
      <c r="AV42" s="9"/>
      <c r="AW42" s="9"/>
      <c r="AX42" s="9"/>
    </row>
    <row r="43" spans="1:50" ht="15.75" customHeight="1" outlineLevel="1" x14ac:dyDescent="0.2">
      <c r="A43" s="16"/>
      <c r="B43" s="49" t="s">
        <v>36</v>
      </c>
      <c r="C43" s="52">
        <f>'Расчетный лист'!B39</f>
        <v>0.11061682788096458</v>
      </c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66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66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76"/>
      <c r="AO43" s="9"/>
      <c r="AP43" s="9"/>
      <c r="AQ43" s="9"/>
      <c r="AR43" s="9"/>
      <c r="AS43" s="9"/>
      <c r="AT43" s="9"/>
      <c r="AU43" s="9"/>
      <c r="AV43" s="9"/>
      <c r="AW43" s="9"/>
      <c r="AX43" s="9"/>
    </row>
    <row r="44" spans="1:50" ht="15.75" customHeight="1" outlineLevel="1" x14ac:dyDescent="0.2">
      <c r="A44" s="16"/>
      <c r="B44" s="53" t="s">
        <v>37</v>
      </c>
      <c r="C44" s="54"/>
      <c r="D44" s="279">
        <f>'Расчетный лист'!E40</f>
        <v>1310</v>
      </c>
      <c r="E44" s="279">
        <f>'Расчетный лист'!F40</f>
        <v>543</v>
      </c>
      <c r="F44" s="279">
        <f>'Расчетный лист'!G40</f>
        <v>1367</v>
      </c>
      <c r="G44" s="51">
        <f t="shared" ref="G44:AM44" si="31">ROUND(G42*$C43,0)</f>
        <v>1064</v>
      </c>
      <c r="H44" s="51">
        <f t="shared" si="31"/>
        <v>1064</v>
      </c>
      <c r="I44" s="51">
        <f t="shared" si="31"/>
        <v>1064</v>
      </c>
      <c r="J44" s="51">
        <f t="shared" si="31"/>
        <v>1064</v>
      </c>
      <c r="K44" s="51">
        <f t="shared" si="31"/>
        <v>1064</v>
      </c>
      <c r="L44" s="51">
        <f t="shared" si="31"/>
        <v>1064</v>
      </c>
      <c r="M44" s="51">
        <f t="shared" si="31"/>
        <v>1064</v>
      </c>
      <c r="N44" s="51">
        <f t="shared" si="31"/>
        <v>1224</v>
      </c>
      <c r="O44" s="278">
        <f t="shared" si="31"/>
        <v>2570</v>
      </c>
      <c r="P44" s="51">
        <f t="shared" si="31"/>
        <v>1196</v>
      </c>
      <c r="Q44" s="51">
        <f t="shared" si="31"/>
        <v>589</v>
      </c>
      <c r="R44" s="51">
        <f t="shared" si="31"/>
        <v>1407</v>
      </c>
      <c r="S44" s="51">
        <f t="shared" si="31"/>
        <v>1064</v>
      </c>
      <c r="T44" s="51">
        <f t="shared" si="31"/>
        <v>1064</v>
      </c>
      <c r="U44" s="51">
        <f t="shared" si="31"/>
        <v>1064</v>
      </c>
      <c r="V44" s="51">
        <f t="shared" si="31"/>
        <v>1064</v>
      </c>
      <c r="W44" s="51">
        <f t="shared" si="31"/>
        <v>1064</v>
      </c>
      <c r="X44" s="51">
        <f t="shared" si="31"/>
        <v>1064</v>
      </c>
      <c r="Y44" s="51">
        <f t="shared" si="31"/>
        <v>1064</v>
      </c>
      <c r="Z44" s="51">
        <f t="shared" si="31"/>
        <v>1224</v>
      </c>
      <c r="AA44" s="278">
        <f t="shared" si="31"/>
        <v>2570</v>
      </c>
      <c r="AB44" s="51">
        <f t="shared" si="31"/>
        <v>1196</v>
      </c>
      <c r="AC44" s="51">
        <f t="shared" si="31"/>
        <v>589</v>
      </c>
      <c r="AD44" s="51">
        <f t="shared" si="31"/>
        <v>1407</v>
      </c>
      <c r="AE44" s="51">
        <f t="shared" si="31"/>
        <v>1064</v>
      </c>
      <c r="AF44" s="51">
        <f t="shared" si="31"/>
        <v>1064</v>
      </c>
      <c r="AG44" s="51">
        <f t="shared" si="31"/>
        <v>1064</v>
      </c>
      <c r="AH44" s="51">
        <f t="shared" si="31"/>
        <v>1064</v>
      </c>
      <c r="AI44" s="51">
        <f t="shared" si="31"/>
        <v>1064</v>
      </c>
      <c r="AJ44" s="51">
        <f t="shared" si="31"/>
        <v>1064</v>
      </c>
      <c r="AK44" s="51">
        <f t="shared" si="31"/>
        <v>1064</v>
      </c>
      <c r="AL44" s="51">
        <f t="shared" si="31"/>
        <v>1224</v>
      </c>
      <c r="AM44" s="51">
        <f t="shared" si="31"/>
        <v>2570</v>
      </c>
      <c r="AN44" s="276">
        <f>SUM(D44:O44)</f>
        <v>14462</v>
      </c>
      <c r="AO44" s="9"/>
      <c r="AP44" s="9"/>
      <c r="AQ44" s="9"/>
      <c r="AR44" s="9"/>
      <c r="AS44" s="9"/>
      <c r="AT44" s="9"/>
      <c r="AU44" s="9"/>
      <c r="AV44" s="9"/>
      <c r="AW44" s="9"/>
      <c r="AX44" s="9"/>
    </row>
    <row r="45" spans="1:50" ht="15.75" customHeight="1" outlineLevel="1" x14ac:dyDescent="0.2">
      <c r="A45" s="16"/>
      <c r="B45" s="49" t="s">
        <v>38</v>
      </c>
      <c r="C45" s="55">
        <f>'Расчетный лист'!B41</f>
        <v>0.38496178283592064</v>
      </c>
      <c r="D45" s="51"/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278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  <c r="AA45" s="278"/>
      <c r="AB45" s="51"/>
      <c r="AC45" s="51"/>
      <c r="AD45" s="51"/>
      <c r="AE45" s="51"/>
      <c r="AF45" s="51"/>
      <c r="AG45" s="51"/>
      <c r="AH45" s="51"/>
      <c r="AI45" s="51"/>
      <c r="AJ45" s="51"/>
      <c r="AK45" s="51"/>
      <c r="AL45" s="51"/>
      <c r="AM45" s="51"/>
      <c r="AN45" s="276"/>
      <c r="AO45" s="9"/>
      <c r="AP45" s="9"/>
      <c r="AQ45" s="9"/>
      <c r="AR45" s="9"/>
      <c r="AS45" s="9"/>
      <c r="AT45" s="9"/>
      <c r="AU45" s="9"/>
      <c r="AV45" s="9"/>
      <c r="AW45" s="9"/>
      <c r="AX45" s="9"/>
    </row>
    <row r="46" spans="1:50" ht="15.75" customHeight="1" outlineLevel="1" x14ac:dyDescent="0.2">
      <c r="A46" s="16"/>
      <c r="B46" s="53" t="s">
        <v>39</v>
      </c>
      <c r="C46" s="281"/>
      <c r="D46" s="279">
        <f>'Расчетный лист'!E42</f>
        <v>500</v>
      </c>
      <c r="E46" s="279">
        <f>'Расчетный лист'!F42</f>
        <v>246</v>
      </c>
      <c r="F46" s="279">
        <f>'Расчетный лист'!G42</f>
        <v>542</v>
      </c>
      <c r="G46" s="51">
        <f t="shared" ref="G46:AM46" si="32">ROUND(G44*$C45,0)</f>
        <v>410</v>
      </c>
      <c r="H46" s="51">
        <f t="shared" si="32"/>
        <v>410</v>
      </c>
      <c r="I46" s="51">
        <f t="shared" si="32"/>
        <v>410</v>
      </c>
      <c r="J46" s="51">
        <f t="shared" si="32"/>
        <v>410</v>
      </c>
      <c r="K46" s="51">
        <f t="shared" si="32"/>
        <v>410</v>
      </c>
      <c r="L46" s="51">
        <f t="shared" si="32"/>
        <v>410</v>
      </c>
      <c r="M46" s="51">
        <f t="shared" si="32"/>
        <v>410</v>
      </c>
      <c r="N46" s="51">
        <f t="shared" si="32"/>
        <v>471</v>
      </c>
      <c r="O46" s="278">
        <f t="shared" si="32"/>
        <v>989</v>
      </c>
      <c r="P46" s="51">
        <f t="shared" si="32"/>
        <v>460</v>
      </c>
      <c r="Q46" s="51">
        <f t="shared" si="32"/>
        <v>227</v>
      </c>
      <c r="R46" s="51">
        <f t="shared" si="32"/>
        <v>542</v>
      </c>
      <c r="S46" s="51">
        <f t="shared" si="32"/>
        <v>410</v>
      </c>
      <c r="T46" s="51">
        <f t="shared" si="32"/>
        <v>410</v>
      </c>
      <c r="U46" s="51">
        <f t="shared" si="32"/>
        <v>410</v>
      </c>
      <c r="V46" s="51">
        <f t="shared" si="32"/>
        <v>410</v>
      </c>
      <c r="W46" s="51">
        <f t="shared" si="32"/>
        <v>410</v>
      </c>
      <c r="X46" s="51">
        <f t="shared" si="32"/>
        <v>410</v>
      </c>
      <c r="Y46" s="51">
        <f t="shared" si="32"/>
        <v>410</v>
      </c>
      <c r="Z46" s="51">
        <f t="shared" si="32"/>
        <v>471</v>
      </c>
      <c r="AA46" s="278">
        <f t="shared" si="32"/>
        <v>989</v>
      </c>
      <c r="AB46" s="51">
        <f t="shared" si="32"/>
        <v>460</v>
      </c>
      <c r="AC46" s="51">
        <f t="shared" si="32"/>
        <v>227</v>
      </c>
      <c r="AD46" s="51">
        <f t="shared" si="32"/>
        <v>542</v>
      </c>
      <c r="AE46" s="51">
        <f t="shared" si="32"/>
        <v>410</v>
      </c>
      <c r="AF46" s="51">
        <f t="shared" si="32"/>
        <v>410</v>
      </c>
      <c r="AG46" s="51">
        <f t="shared" si="32"/>
        <v>410</v>
      </c>
      <c r="AH46" s="51">
        <f t="shared" si="32"/>
        <v>410</v>
      </c>
      <c r="AI46" s="51">
        <f t="shared" si="32"/>
        <v>410</v>
      </c>
      <c r="AJ46" s="51">
        <f t="shared" si="32"/>
        <v>410</v>
      </c>
      <c r="AK46" s="51">
        <f t="shared" si="32"/>
        <v>410</v>
      </c>
      <c r="AL46" s="51">
        <f t="shared" si="32"/>
        <v>471</v>
      </c>
      <c r="AM46" s="51">
        <f t="shared" si="32"/>
        <v>989</v>
      </c>
      <c r="AN46" s="276">
        <f>SUM(D46:O46)</f>
        <v>5618</v>
      </c>
      <c r="AO46" s="9"/>
      <c r="AP46" s="9"/>
      <c r="AQ46" s="9"/>
      <c r="AR46" s="9"/>
      <c r="AS46" s="9"/>
      <c r="AT46" s="9"/>
      <c r="AU46" s="9"/>
      <c r="AV46" s="9"/>
      <c r="AW46" s="9"/>
      <c r="AX46" s="9"/>
    </row>
    <row r="47" spans="1:50" ht="15.75" customHeight="1" outlineLevel="1" x14ac:dyDescent="0.2">
      <c r="A47" s="16"/>
      <c r="B47" s="49" t="s">
        <v>40</v>
      </c>
      <c r="C47" s="55">
        <f>'Расчетный лист'!B43</f>
        <v>0.92716066079833737</v>
      </c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278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  <c r="AA47" s="278"/>
      <c r="AB47" s="51"/>
      <c r="AC47" s="51"/>
      <c r="AD47" s="51"/>
      <c r="AE47" s="51"/>
      <c r="AF47" s="51"/>
      <c r="AG47" s="51"/>
      <c r="AH47" s="51"/>
      <c r="AI47" s="51"/>
      <c r="AJ47" s="51"/>
      <c r="AK47" s="51"/>
      <c r="AL47" s="51"/>
      <c r="AM47" s="51"/>
      <c r="AN47" s="276"/>
      <c r="AO47" s="9"/>
      <c r="AP47" s="9"/>
      <c r="AQ47" s="9"/>
      <c r="AR47" s="9"/>
      <c r="AS47" s="9"/>
      <c r="AT47" s="9"/>
      <c r="AU47" s="9"/>
      <c r="AV47" s="9"/>
      <c r="AW47" s="9"/>
      <c r="AX47" s="9"/>
    </row>
    <row r="48" spans="1:50" ht="15.75" customHeight="1" outlineLevel="1" x14ac:dyDescent="0.2">
      <c r="A48" s="16"/>
      <c r="B48" s="53" t="s">
        <v>41</v>
      </c>
      <c r="C48" s="281"/>
      <c r="D48" s="279">
        <f>'Расчетный лист'!E44</f>
        <v>470</v>
      </c>
      <c r="E48" s="279">
        <f>'Расчетный лист'!F44</f>
        <v>217</v>
      </c>
      <c r="F48" s="279">
        <f>'Расчетный лист'!G44</f>
        <v>542</v>
      </c>
      <c r="G48" s="51">
        <f t="shared" ref="G48:AM48" si="33">ROUND(G46*$C47,0)</f>
        <v>380</v>
      </c>
      <c r="H48" s="51">
        <f t="shared" si="33"/>
        <v>380</v>
      </c>
      <c r="I48" s="51">
        <f t="shared" si="33"/>
        <v>380</v>
      </c>
      <c r="J48" s="51">
        <f t="shared" si="33"/>
        <v>380</v>
      </c>
      <c r="K48" s="51">
        <f t="shared" si="33"/>
        <v>380</v>
      </c>
      <c r="L48" s="51">
        <f t="shared" si="33"/>
        <v>380</v>
      </c>
      <c r="M48" s="51">
        <f t="shared" si="33"/>
        <v>380</v>
      </c>
      <c r="N48" s="51">
        <f t="shared" si="33"/>
        <v>437</v>
      </c>
      <c r="O48" s="278">
        <f t="shared" si="33"/>
        <v>917</v>
      </c>
      <c r="P48" s="51">
        <f t="shared" si="33"/>
        <v>426</v>
      </c>
      <c r="Q48" s="51">
        <f t="shared" si="33"/>
        <v>210</v>
      </c>
      <c r="R48" s="51">
        <f t="shared" si="33"/>
        <v>503</v>
      </c>
      <c r="S48" s="51">
        <f t="shared" si="33"/>
        <v>380</v>
      </c>
      <c r="T48" s="51">
        <f t="shared" si="33"/>
        <v>380</v>
      </c>
      <c r="U48" s="51">
        <f t="shared" si="33"/>
        <v>380</v>
      </c>
      <c r="V48" s="51">
        <f t="shared" si="33"/>
        <v>380</v>
      </c>
      <c r="W48" s="51">
        <f t="shared" si="33"/>
        <v>380</v>
      </c>
      <c r="X48" s="51">
        <f t="shared" si="33"/>
        <v>380</v>
      </c>
      <c r="Y48" s="51">
        <f t="shared" si="33"/>
        <v>380</v>
      </c>
      <c r="Z48" s="51">
        <f t="shared" si="33"/>
        <v>437</v>
      </c>
      <c r="AA48" s="278">
        <f t="shared" si="33"/>
        <v>917</v>
      </c>
      <c r="AB48" s="51">
        <f t="shared" si="33"/>
        <v>426</v>
      </c>
      <c r="AC48" s="51">
        <f t="shared" si="33"/>
        <v>210</v>
      </c>
      <c r="AD48" s="51">
        <f t="shared" si="33"/>
        <v>503</v>
      </c>
      <c r="AE48" s="51">
        <f t="shared" si="33"/>
        <v>380</v>
      </c>
      <c r="AF48" s="51">
        <f t="shared" si="33"/>
        <v>380</v>
      </c>
      <c r="AG48" s="51">
        <f t="shared" si="33"/>
        <v>380</v>
      </c>
      <c r="AH48" s="51">
        <f t="shared" si="33"/>
        <v>380</v>
      </c>
      <c r="AI48" s="51">
        <f t="shared" si="33"/>
        <v>380</v>
      </c>
      <c r="AJ48" s="51">
        <f t="shared" si="33"/>
        <v>380</v>
      </c>
      <c r="AK48" s="51">
        <f t="shared" si="33"/>
        <v>380</v>
      </c>
      <c r="AL48" s="51">
        <f t="shared" si="33"/>
        <v>437</v>
      </c>
      <c r="AM48" s="51">
        <f t="shared" si="33"/>
        <v>917</v>
      </c>
      <c r="AN48" s="276">
        <f>SUM(D48:O48)</f>
        <v>5243</v>
      </c>
      <c r="AO48" s="9"/>
      <c r="AP48" s="9"/>
      <c r="AQ48" s="9"/>
      <c r="AR48" s="9"/>
      <c r="AS48" s="9"/>
      <c r="AT48" s="9"/>
      <c r="AU48" s="9"/>
      <c r="AV48" s="9"/>
      <c r="AW48" s="9"/>
      <c r="AX48" s="9"/>
    </row>
    <row r="49" spans="1:50" ht="15.75" customHeight="1" outlineLevel="1" x14ac:dyDescent="0.2">
      <c r="A49" s="16"/>
      <c r="B49" s="53" t="s">
        <v>44</v>
      </c>
      <c r="C49" s="58">
        <v>770</v>
      </c>
      <c r="D49" s="51"/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278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  <c r="AA49" s="278"/>
      <c r="AB49" s="51"/>
      <c r="AC49" s="51"/>
      <c r="AD49" s="51"/>
      <c r="AE49" s="51"/>
      <c r="AF49" s="51"/>
      <c r="AG49" s="51"/>
      <c r="AH49" s="51"/>
      <c r="AI49" s="51"/>
      <c r="AJ49" s="51"/>
      <c r="AK49" s="51"/>
      <c r="AL49" s="51"/>
      <c r="AM49" s="51"/>
      <c r="AN49" s="276"/>
      <c r="AO49" s="9"/>
      <c r="AP49" s="9"/>
      <c r="AQ49" s="9"/>
      <c r="AR49" s="9"/>
      <c r="AS49" s="9"/>
      <c r="AT49" s="9"/>
      <c r="AU49" s="9"/>
      <c r="AV49" s="9"/>
      <c r="AW49" s="9"/>
      <c r="AX49" s="9"/>
    </row>
    <row r="50" spans="1:50" ht="15.75" customHeight="1" outlineLevel="1" x14ac:dyDescent="0.2">
      <c r="A50" s="16"/>
      <c r="B50" s="228" t="s">
        <v>236</v>
      </c>
      <c r="C50" s="281"/>
      <c r="D50" s="283">
        <f>'Расчетный лист'!E45</f>
        <v>805</v>
      </c>
      <c r="E50" s="283">
        <f>'Расчетный лист'!F45</f>
        <v>801</v>
      </c>
      <c r="F50" s="283">
        <f>'Расчетный лист'!G45</f>
        <v>755</v>
      </c>
      <c r="G50" s="51"/>
      <c r="H50" s="51"/>
      <c r="I50" s="51"/>
      <c r="J50" s="51"/>
      <c r="K50" s="51"/>
      <c r="L50" s="51"/>
      <c r="M50" s="51"/>
      <c r="N50" s="51"/>
      <c r="O50" s="278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  <c r="AA50" s="278"/>
      <c r="AB50" s="51"/>
      <c r="AC50" s="51"/>
      <c r="AD50" s="51"/>
      <c r="AE50" s="51"/>
      <c r="AF50" s="51"/>
      <c r="AG50" s="51"/>
      <c r="AH50" s="51"/>
      <c r="AI50" s="51"/>
      <c r="AJ50" s="51"/>
      <c r="AK50" s="51"/>
      <c r="AL50" s="51"/>
      <c r="AM50" s="51"/>
      <c r="AN50" s="276"/>
      <c r="AO50" s="9"/>
      <c r="AP50" s="9"/>
      <c r="AQ50" s="9"/>
      <c r="AR50" s="9"/>
      <c r="AS50" s="9"/>
      <c r="AT50" s="9"/>
      <c r="AU50" s="9"/>
      <c r="AV50" s="9"/>
      <c r="AW50" s="9"/>
      <c r="AX50" s="9"/>
    </row>
    <row r="51" spans="1:50" ht="15.75" customHeight="1" outlineLevel="1" x14ac:dyDescent="0.2">
      <c r="A51" s="16"/>
      <c r="B51" s="228" t="s">
        <v>237</v>
      </c>
      <c r="C51" s="52"/>
      <c r="D51" s="51">
        <f>D40-D40*C51</f>
        <v>378350</v>
      </c>
      <c r="E51" s="51">
        <f t="shared" ref="E51:AM51" si="34">E40-E40*$C51</f>
        <v>173817</v>
      </c>
      <c r="F51" s="51">
        <f t="shared" si="34"/>
        <v>409210</v>
      </c>
      <c r="G51" s="51">
        <f t="shared" si="34"/>
        <v>292600</v>
      </c>
      <c r="H51" s="51">
        <f t="shared" si="34"/>
        <v>292600</v>
      </c>
      <c r="I51" s="51">
        <f t="shared" si="34"/>
        <v>292600</v>
      </c>
      <c r="J51" s="51">
        <f t="shared" si="34"/>
        <v>292600</v>
      </c>
      <c r="K51" s="51">
        <f t="shared" si="34"/>
        <v>292600</v>
      </c>
      <c r="L51" s="51">
        <f t="shared" si="34"/>
        <v>292600</v>
      </c>
      <c r="M51" s="51">
        <f t="shared" si="34"/>
        <v>292600</v>
      </c>
      <c r="N51" s="51">
        <f t="shared" si="34"/>
        <v>336490</v>
      </c>
      <c r="O51" s="278">
        <f t="shared" si="34"/>
        <v>706090</v>
      </c>
      <c r="P51" s="51">
        <f t="shared" si="34"/>
        <v>328020</v>
      </c>
      <c r="Q51" s="51">
        <f t="shared" si="34"/>
        <v>161700</v>
      </c>
      <c r="R51" s="51">
        <f t="shared" si="34"/>
        <v>387310</v>
      </c>
      <c r="S51" s="51">
        <f t="shared" si="34"/>
        <v>292600</v>
      </c>
      <c r="T51" s="51">
        <f t="shared" si="34"/>
        <v>292600</v>
      </c>
      <c r="U51" s="51">
        <f t="shared" si="34"/>
        <v>292600</v>
      </c>
      <c r="V51" s="51">
        <f t="shared" si="34"/>
        <v>292600</v>
      </c>
      <c r="W51" s="51">
        <f t="shared" si="34"/>
        <v>292600</v>
      </c>
      <c r="X51" s="51">
        <f t="shared" si="34"/>
        <v>292600</v>
      </c>
      <c r="Y51" s="51">
        <f t="shared" si="34"/>
        <v>292600</v>
      </c>
      <c r="Z51" s="51">
        <f t="shared" si="34"/>
        <v>336490</v>
      </c>
      <c r="AA51" s="278">
        <f t="shared" si="34"/>
        <v>706090</v>
      </c>
      <c r="AB51" s="51">
        <f t="shared" si="34"/>
        <v>328020</v>
      </c>
      <c r="AC51" s="51">
        <f t="shared" si="34"/>
        <v>161700</v>
      </c>
      <c r="AD51" s="51">
        <f t="shared" si="34"/>
        <v>387310</v>
      </c>
      <c r="AE51" s="51">
        <f t="shared" si="34"/>
        <v>292600</v>
      </c>
      <c r="AF51" s="51">
        <f t="shared" si="34"/>
        <v>292600</v>
      </c>
      <c r="AG51" s="51">
        <f t="shared" si="34"/>
        <v>292600</v>
      </c>
      <c r="AH51" s="51">
        <f t="shared" si="34"/>
        <v>292600</v>
      </c>
      <c r="AI51" s="51">
        <f t="shared" si="34"/>
        <v>292600</v>
      </c>
      <c r="AJ51" s="51">
        <f t="shared" si="34"/>
        <v>292600</v>
      </c>
      <c r="AK51" s="51">
        <f t="shared" si="34"/>
        <v>292600</v>
      </c>
      <c r="AL51" s="51">
        <f t="shared" si="34"/>
        <v>336490</v>
      </c>
      <c r="AM51" s="51">
        <f t="shared" si="34"/>
        <v>706090</v>
      </c>
      <c r="AN51" s="276">
        <f t="shared" ref="AN51:AN53" si="35">SUM(D51:O51)</f>
        <v>4052157</v>
      </c>
      <c r="AO51" s="9"/>
      <c r="AP51" s="9"/>
      <c r="AQ51" s="9"/>
      <c r="AR51" s="9"/>
      <c r="AS51" s="9"/>
      <c r="AT51" s="9"/>
      <c r="AU51" s="9"/>
      <c r="AV51" s="9"/>
      <c r="AW51" s="9"/>
      <c r="AX51" s="9"/>
    </row>
    <row r="52" spans="1:50" ht="15.75" customHeight="1" x14ac:dyDescent="0.2">
      <c r="A52" s="16"/>
      <c r="B52" s="248" t="s">
        <v>240</v>
      </c>
      <c r="C52" s="44" t="s">
        <v>31</v>
      </c>
      <c r="D52" s="60">
        <f t="shared" ref="D52:AM52" si="36">D61*$C62</f>
        <v>0</v>
      </c>
      <c r="E52" s="60">
        <f t="shared" si="36"/>
        <v>0</v>
      </c>
      <c r="F52" s="60">
        <f t="shared" si="36"/>
        <v>0</v>
      </c>
      <c r="G52" s="60">
        <f t="shared" si="36"/>
        <v>0</v>
      </c>
      <c r="H52" s="60">
        <f t="shared" si="36"/>
        <v>1206211.1984479318</v>
      </c>
      <c r="I52" s="60">
        <f t="shared" si="36"/>
        <v>1206211.1984479318</v>
      </c>
      <c r="J52" s="60">
        <f t="shared" si="36"/>
        <v>1206211.1984479318</v>
      </c>
      <c r="K52" s="60">
        <f t="shared" si="36"/>
        <v>1206211.1984479318</v>
      </c>
      <c r="L52" s="60">
        <f t="shared" si="36"/>
        <v>1206211.1984479318</v>
      </c>
      <c r="M52" s="60">
        <f t="shared" si="36"/>
        <v>1206211.1984479318</v>
      </c>
      <c r="N52" s="60">
        <f t="shared" si="36"/>
        <v>1285447.8278226915</v>
      </c>
      <c r="O52" s="284">
        <f t="shared" si="36"/>
        <v>2773153.3449994703</v>
      </c>
      <c r="P52" s="60">
        <f t="shared" si="36"/>
        <v>1375139.9604645232</v>
      </c>
      <c r="Q52" s="60">
        <f t="shared" si="36"/>
        <v>634182.57201163052</v>
      </c>
      <c r="R52" s="60">
        <f t="shared" si="36"/>
        <v>1609278.8920883576</v>
      </c>
      <c r="S52" s="60">
        <f t="shared" si="36"/>
        <v>1206211.1984479318</v>
      </c>
      <c r="T52" s="60">
        <f t="shared" si="36"/>
        <v>1206211.1984479318</v>
      </c>
      <c r="U52" s="60">
        <f t="shared" si="36"/>
        <v>1206211.1984479318</v>
      </c>
      <c r="V52" s="60">
        <f t="shared" si="36"/>
        <v>1206211.1984479318</v>
      </c>
      <c r="W52" s="60">
        <f t="shared" si="36"/>
        <v>1206211.1984479318</v>
      </c>
      <c r="X52" s="60">
        <f t="shared" si="36"/>
        <v>1206211.1984479318</v>
      </c>
      <c r="Y52" s="60">
        <f t="shared" si="36"/>
        <v>1206211.1984479318</v>
      </c>
      <c r="Z52" s="60">
        <f t="shared" si="36"/>
        <v>1285447.8278226915</v>
      </c>
      <c r="AA52" s="284">
        <f t="shared" si="36"/>
        <v>2773153.3449994703</v>
      </c>
      <c r="AB52" s="60">
        <f t="shared" si="36"/>
        <v>1375139.9604645232</v>
      </c>
      <c r="AC52" s="60">
        <f t="shared" si="36"/>
        <v>634182.57201163052</v>
      </c>
      <c r="AD52" s="60">
        <f t="shared" si="36"/>
        <v>1609278.8920883576</v>
      </c>
      <c r="AE52" s="60">
        <f t="shared" si="36"/>
        <v>1206211.1984479318</v>
      </c>
      <c r="AF52" s="60">
        <f t="shared" si="36"/>
        <v>1206211.1984479318</v>
      </c>
      <c r="AG52" s="60">
        <f t="shared" si="36"/>
        <v>1206211.1984479318</v>
      </c>
      <c r="AH52" s="60">
        <f t="shared" si="36"/>
        <v>1206211.1984479318</v>
      </c>
      <c r="AI52" s="60">
        <f t="shared" si="36"/>
        <v>1206211.1984479318</v>
      </c>
      <c r="AJ52" s="60">
        <f t="shared" si="36"/>
        <v>1206211.1984479318</v>
      </c>
      <c r="AK52" s="60">
        <f t="shared" si="36"/>
        <v>1206211.1984479318</v>
      </c>
      <c r="AL52" s="60">
        <f t="shared" si="36"/>
        <v>1285447.8278226915</v>
      </c>
      <c r="AM52" s="60">
        <f t="shared" si="36"/>
        <v>2773153.3449994703</v>
      </c>
      <c r="AN52" s="285">
        <f t="shared" si="35"/>
        <v>11295868.363509752</v>
      </c>
      <c r="AO52" s="9"/>
      <c r="AP52" s="9"/>
      <c r="AQ52" s="9"/>
      <c r="AR52" s="9"/>
      <c r="AS52" s="9"/>
      <c r="AT52" s="9"/>
      <c r="AU52" s="9"/>
      <c r="AV52" s="9"/>
      <c r="AW52" s="9"/>
      <c r="AX52" s="9"/>
    </row>
    <row r="53" spans="1:50" ht="15.75" customHeight="1" outlineLevel="1" x14ac:dyDescent="0.2">
      <c r="A53" s="16"/>
      <c r="B53" s="46" t="s">
        <v>33</v>
      </c>
      <c r="C53" s="7" t="s">
        <v>34</v>
      </c>
      <c r="D53" s="47">
        <f>'Расчетный лист'!C9</f>
        <v>1.0236478733170136</v>
      </c>
      <c r="E53" s="47">
        <f>'Расчетный лист'!D9</f>
        <v>0.47207772337821302</v>
      </c>
      <c r="F53" s="47">
        <f>'Расчетный лист'!E9</f>
        <v>1.1979230416156672</v>
      </c>
      <c r="G53" s="47">
        <f>'Расчетный лист'!F9</f>
        <v>0.89788287943696454</v>
      </c>
      <c r="H53" s="47">
        <f>'Расчетный лист'!G9</f>
        <v>0.89788287943696454</v>
      </c>
      <c r="I53" s="47">
        <f>'Расчетный лист'!H9</f>
        <v>0.89788287943696454</v>
      </c>
      <c r="J53" s="47">
        <f>'Расчетный лист'!I9</f>
        <v>0.89788287943696454</v>
      </c>
      <c r="K53" s="47">
        <f>'Расчетный лист'!J9</f>
        <v>0.89788287943696454</v>
      </c>
      <c r="L53" s="47">
        <f>'Расчетный лист'!K9</f>
        <v>0.89788287943696454</v>
      </c>
      <c r="M53" s="47">
        <f>'Расчетный лист'!L9</f>
        <v>0.89788287943696454</v>
      </c>
      <c r="N53" s="47">
        <f>'Расчетный лист'!M9</f>
        <v>0.9568639075887394</v>
      </c>
      <c r="O53" s="277">
        <f>'Расчетный лист'!N9</f>
        <v>2.0643072980416157</v>
      </c>
      <c r="P53" s="47">
        <f t="shared" ref="P53:AM53" si="37">D53</f>
        <v>1.0236478733170136</v>
      </c>
      <c r="Q53" s="47">
        <f t="shared" si="37"/>
        <v>0.47207772337821302</v>
      </c>
      <c r="R53" s="47">
        <f t="shared" si="37"/>
        <v>1.1979230416156672</v>
      </c>
      <c r="S53" s="47">
        <f t="shared" si="37"/>
        <v>0.89788287943696454</v>
      </c>
      <c r="T53" s="47">
        <f t="shared" si="37"/>
        <v>0.89788287943696454</v>
      </c>
      <c r="U53" s="47">
        <f t="shared" si="37"/>
        <v>0.89788287943696454</v>
      </c>
      <c r="V53" s="47">
        <f t="shared" si="37"/>
        <v>0.89788287943696454</v>
      </c>
      <c r="W53" s="47">
        <f t="shared" si="37"/>
        <v>0.89788287943696454</v>
      </c>
      <c r="X53" s="47">
        <f t="shared" si="37"/>
        <v>0.89788287943696454</v>
      </c>
      <c r="Y53" s="47">
        <f t="shared" si="37"/>
        <v>0.89788287943696454</v>
      </c>
      <c r="Z53" s="47">
        <f t="shared" si="37"/>
        <v>0.9568639075887394</v>
      </c>
      <c r="AA53" s="277">
        <f t="shared" si="37"/>
        <v>2.0643072980416157</v>
      </c>
      <c r="AB53" s="47">
        <f t="shared" si="37"/>
        <v>1.0236478733170136</v>
      </c>
      <c r="AC53" s="47">
        <f t="shared" si="37"/>
        <v>0.47207772337821302</v>
      </c>
      <c r="AD53" s="47">
        <f t="shared" si="37"/>
        <v>1.1979230416156672</v>
      </c>
      <c r="AE53" s="47">
        <f t="shared" si="37"/>
        <v>0.89788287943696454</v>
      </c>
      <c r="AF53" s="47">
        <f t="shared" si="37"/>
        <v>0.89788287943696454</v>
      </c>
      <c r="AG53" s="47">
        <f t="shared" si="37"/>
        <v>0.89788287943696454</v>
      </c>
      <c r="AH53" s="47">
        <f t="shared" si="37"/>
        <v>0.89788287943696454</v>
      </c>
      <c r="AI53" s="47">
        <f t="shared" si="37"/>
        <v>0.89788287943696454</v>
      </c>
      <c r="AJ53" s="47">
        <f t="shared" si="37"/>
        <v>0.89788287943696454</v>
      </c>
      <c r="AK53" s="47">
        <f t="shared" si="37"/>
        <v>0.89788287943696454</v>
      </c>
      <c r="AL53" s="47">
        <f t="shared" si="37"/>
        <v>0.9568639075887394</v>
      </c>
      <c r="AM53" s="47">
        <f t="shared" si="37"/>
        <v>2.0643072980416157</v>
      </c>
      <c r="AN53" s="276">
        <f t="shared" si="35"/>
        <v>12</v>
      </c>
      <c r="AO53" s="9"/>
      <c r="AP53" s="9"/>
      <c r="AQ53" s="9"/>
      <c r="AR53" s="9"/>
      <c r="AS53" s="9"/>
      <c r="AT53" s="9"/>
      <c r="AU53" s="9"/>
      <c r="AV53" s="9"/>
      <c r="AW53" s="9"/>
      <c r="AX53" s="9"/>
    </row>
    <row r="54" spans="1:50" ht="15.75" customHeight="1" outlineLevel="1" x14ac:dyDescent="0.2">
      <c r="A54" s="48"/>
      <c r="B54" s="49" t="s">
        <v>241</v>
      </c>
      <c r="C54" s="286">
        <v>7.46</v>
      </c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278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  <c r="AA54" s="278"/>
      <c r="AB54" s="51"/>
      <c r="AC54" s="51"/>
      <c r="AD54" s="51"/>
      <c r="AE54" s="51"/>
      <c r="AF54" s="51"/>
      <c r="AG54" s="51"/>
      <c r="AH54" s="51"/>
      <c r="AI54" s="51"/>
      <c r="AJ54" s="51"/>
      <c r="AK54" s="51"/>
      <c r="AL54" s="51"/>
      <c r="AM54" s="51"/>
      <c r="AN54" s="276"/>
      <c r="AO54" s="9"/>
      <c r="AP54" s="9"/>
      <c r="AQ54" s="9"/>
      <c r="AR54" s="9"/>
      <c r="AS54" s="9"/>
      <c r="AT54" s="9"/>
      <c r="AU54" s="9"/>
      <c r="AV54" s="9"/>
      <c r="AW54" s="9"/>
      <c r="AX54" s="9"/>
    </row>
    <row r="55" spans="1:50" ht="15.75" customHeight="1" outlineLevel="1" x14ac:dyDescent="0.2">
      <c r="A55" s="48"/>
      <c r="B55" s="49" t="s">
        <v>35</v>
      </c>
      <c r="C55" s="50"/>
      <c r="D55" s="158">
        <v>0</v>
      </c>
      <c r="E55" s="158">
        <v>0</v>
      </c>
      <c r="F55" s="158">
        <v>0</v>
      </c>
      <c r="G55" s="158">
        <v>0</v>
      </c>
      <c r="H55" s="158">
        <v>37494</v>
      </c>
      <c r="I55" s="158">
        <v>37494</v>
      </c>
      <c r="J55" s="158">
        <v>37494</v>
      </c>
      <c r="K55" s="158">
        <v>37494</v>
      </c>
      <c r="L55" s="158">
        <v>37494</v>
      </c>
      <c r="M55" s="158">
        <v>37494</v>
      </c>
      <c r="N55" s="158">
        <v>39957</v>
      </c>
      <c r="O55" s="287">
        <v>86201</v>
      </c>
      <c r="P55" s="51">
        <f t="shared" ref="P55:AM55" si="38">P30</f>
        <v>42745</v>
      </c>
      <c r="Q55" s="51">
        <f t="shared" si="38"/>
        <v>19713</v>
      </c>
      <c r="R55" s="51">
        <f t="shared" si="38"/>
        <v>50023</v>
      </c>
      <c r="S55" s="51">
        <f t="shared" si="38"/>
        <v>37494</v>
      </c>
      <c r="T55" s="51">
        <f t="shared" si="38"/>
        <v>37494</v>
      </c>
      <c r="U55" s="51">
        <f t="shared" si="38"/>
        <v>37494</v>
      </c>
      <c r="V55" s="51">
        <f t="shared" si="38"/>
        <v>37494</v>
      </c>
      <c r="W55" s="51">
        <f t="shared" si="38"/>
        <v>37494</v>
      </c>
      <c r="X55" s="51">
        <f t="shared" si="38"/>
        <v>37494</v>
      </c>
      <c r="Y55" s="51">
        <f t="shared" si="38"/>
        <v>37494</v>
      </c>
      <c r="Z55" s="51">
        <f t="shared" si="38"/>
        <v>39957</v>
      </c>
      <c r="AA55" s="278">
        <f t="shared" si="38"/>
        <v>86201</v>
      </c>
      <c r="AB55" s="51">
        <f t="shared" si="38"/>
        <v>42745</v>
      </c>
      <c r="AC55" s="51">
        <f t="shared" si="38"/>
        <v>19713</v>
      </c>
      <c r="AD55" s="51">
        <f t="shared" si="38"/>
        <v>50023</v>
      </c>
      <c r="AE55" s="51">
        <f t="shared" si="38"/>
        <v>37494</v>
      </c>
      <c r="AF55" s="51">
        <f t="shared" si="38"/>
        <v>37494</v>
      </c>
      <c r="AG55" s="51">
        <f t="shared" si="38"/>
        <v>37494</v>
      </c>
      <c r="AH55" s="51">
        <f t="shared" si="38"/>
        <v>37494</v>
      </c>
      <c r="AI55" s="51">
        <f t="shared" si="38"/>
        <v>37494</v>
      </c>
      <c r="AJ55" s="51">
        <f t="shared" si="38"/>
        <v>37494</v>
      </c>
      <c r="AK55" s="51">
        <f t="shared" si="38"/>
        <v>37494</v>
      </c>
      <c r="AL55" s="51">
        <f t="shared" si="38"/>
        <v>39957</v>
      </c>
      <c r="AM55" s="51">
        <f t="shared" si="38"/>
        <v>86201</v>
      </c>
      <c r="AN55" s="276">
        <f>SUM(D55:O55)</f>
        <v>351122</v>
      </c>
      <c r="AO55" s="9"/>
      <c r="AP55" s="9"/>
      <c r="AQ55" s="9"/>
      <c r="AR55" s="9"/>
      <c r="AS55" s="9"/>
      <c r="AT55" s="9"/>
      <c r="AU55" s="9"/>
      <c r="AV55" s="9"/>
      <c r="AW55" s="9"/>
      <c r="AX55" s="9"/>
    </row>
    <row r="56" spans="1:50" ht="15.75" customHeight="1" outlineLevel="1" x14ac:dyDescent="0.2">
      <c r="A56" s="48"/>
      <c r="B56" s="49" t="s">
        <v>36</v>
      </c>
      <c r="C56" s="52">
        <f>C31</f>
        <v>0.25655445113675068</v>
      </c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66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66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76"/>
      <c r="AO56" s="9"/>
      <c r="AP56" s="9"/>
      <c r="AQ56" s="9"/>
      <c r="AR56" s="9"/>
      <c r="AS56" s="9"/>
      <c r="AT56" s="9"/>
      <c r="AU56" s="9"/>
      <c r="AV56" s="9"/>
      <c r="AW56" s="9"/>
      <c r="AX56" s="9"/>
    </row>
    <row r="57" spans="1:50" ht="15.75" customHeight="1" outlineLevel="1" x14ac:dyDescent="0.2">
      <c r="A57" s="48"/>
      <c r="B57" s="53" t="s">
        <v>37</v>
      </c>
      <c r="C57" s="54"/>
      <c r="D57" s="51"/>
      <c r="E57" s="51"/>
      <c r="F57" s="51"/>
      <c r="G57" s="51">
        <f t="shared" ref="G57:AM57" si="39">G55*$C56</f>
        <v>0</v>
      </c>
      <c r="H57" s="51">
        <f t="shared" si="39"/>
        <v>9619.2525909213309</v>
      </c>
      <c r="I57" s="51">
        <f t="shared" si="39"/>
        <v>9619.2525909213309</v>
      </c>
      <c r="J57" s="51">
        <f t="shared" si="39"/>
        <v>9619.2525909213309</v>
      </c>
      <c r="K57" s="51">
        <f t="shared" si="39"/>
        <v>9619.2525909213309</v>
      </c>
      <c r="L57" s="51">
        <f t="shared" si="39"/>
        <v>9619.2525909213309</v>
      </c>
      <c r="M57" s="51">
        <f t="shared" si="39"/>
        <v>9619.2525909213309</v>
      </c>
      <c r="N57" s="51">
        <f t="shared" si="39"/>
        <v>10251.146204071147</v>
      </c>
      <c r="O57" s="278">
        <f t="shared" si="39"/>
        <v>22115.250242439044</v>
      </c>
      <c r="P57" s="51">
        <f t="shared" si="39"/>
        <v>10966.420013840409</v>
      </c>
      <c r="Q57" s="51">
        <f t="shared" si="39"/>
        <v>5057.4578952587663</v>
      </c>
      <c r="R57" s="51">
        <f t="shared" si="39"/>
        <v>12833.623309213679</v>
      </c>
      <c r="S57" s="51">
        <f t="shared" si="39"/>
        <v>9619.2525909213309</v>
      </c>
      <c r="T57" s="51">
        <f t="shared" si="39"/>
        <v>9619.2525909213309</v>
      </c>
      <c r="U57" s="51">
        <f t="shared" si="39"/>
        <v>9619.2525909213309</v>
      </c>
      <c r="V57" s="51">
        <f t="shared" si="39"/>
        <v>9619.2525909213309</v>
      </c>
      <c r="W57" s="51">
        <f t="shared" si="39"/>
        <v>9619.2525909213309</v>
      </c>
      <c r="X57" s="51">
        <f t="shared" si="39"/>
        <v>9619.2525909213309</v>
      </c>
      <c r="Y57" s="51">
        <f t="shared" si="39"/>
        <v>9619.2525909213309</v>
      </c>
      <c r="Z57" s="51">
        <f t="shared" si="39"/>
        <v>10251.146204071147</v>
      </c>
      <c r="AA57" s="278">
        <f t="shared" si="39"/>
        <v>22115.250242439044</v>
      </c>
      <c r="AB57" s="51">
        <f t="shared" si="39"/>
        <v>10966.420013840409</v>
      </c>
      <c r="AC57" s="51">
        <f t="shared" si="39"/>
        <v>5057.4578952587663</v>
      </c>
      <c r="AD57" s="51">
        <f t="shared" si="39"/>
        <v>12833.623309213679</v>
      </c>
      <c r="AE57" s="51">
        <f t="shared" si="39"/>
        <v>9619.2525909213309</v>
      </c>
      <c r="AF57" s="51">
        <f t="shared" si="39"/>
        <v>9619.2525909213309</v>
      </c>
      <c r="AG57" s="51">
        <f t="shared" si="39"/>
        <v>9619.2525909213309</v>
      </c>
      <c r="AH57" s="51">
        <f t="shared" si="39"/>
        <v>9619.2525909213309</v>
      </c>
      <c r="AI57" s="51">
        <f t="shared" si="39"/>
        <v>9619.2525909213309</v>
      </c>
      <c r="AJ57" s="51">
        <f t="shared" si="39"/>
        <v>9619.2525909213309</v>
      </c>
      <c r="AK57" s="51">
        <f t="shared" si="39"/>
        <v>9619.2525909213309</v>
      </c>
      <c r="AL57" s="51">
        <f t="shared" si="39"/>
        <v>10251.146204071147</v>
      </c>
      <c r="AM57" s="51">
        <f t="shared" si="39"/>
        <v>22115.250242439044</v>
      </c>
      <c r="AN57" s="276">
        <f>SUM(D57:O57)</f>
        <v>90081.911992038164</v>
      </c>
      <c r="AO57" s="9"/>
      <c r="AP57" s="9"/>
      <c r="AQ57" s="9"/>
      <c r="AR57" s="9"/>
      <c r="AS57" s="9"/>
      <c r="AT57" s="9"/>
      <c r="AU57" s="9"/>
      <c r="AV57" s="9"/>
      <c r="AW57" s="9"/>
      <c r="AX57" s="9"/>
    </row>
    <row r="58" spans="1:50" ht="15.75" customHeight="1" outlineLevel="1" x14ac:dyDescent="0.2">
      <c r="A58" s="16"/>
      <c r="B58" s="49" t="s">
        <v>38</v>
      </c>
      <c r="C58" s="55">
        <f>C33</f>
        <v>0.28090666632940853</v>
      </c>
      <c r="D58" s="51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278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  <c r="AA58" s="278"/>
      <c r="AB58" s="51"/>
      <c r="AC58" s="51"/>
      <c r="AD58" s="51"/>
      <c r="AE58" s="51"/>
      <c r="AF58" s="51"/>
      <c r="AG58" s="51"/>
      <c r="AH58" s="51"/>
      <c r="AI58" s="51"/>
      <c r="AJ58" s="51"/>
      <c r="AK58" s="51"/>
      <c r="AL58" s="51"/>
      <c r="AM58" s="51"/>
      <c r="AN58" s="276"/>
      <c r="AO58" s="9"/>
      <c r="AP58" s="9"/>
      <c r="AQ58" s="9"/>
      <c r="AR58" s="9"/>
      <c r="AS58" s="9"/>
      <c r="AT58" s="9"/>
      <c r="AU58" s="9"/>
      <c r="AV58" s="9"/>
      <c r="AW58" s="9"/>
      <c r="AX58" s="9"/>
    </row>
    <row r="59" spans="1:50" ht="15.75" customHeight="1" outlineLevel="1" x14ac:dyDescent="0.2">
      <c r="A59" s="48"/>
      <c r="B59" s="53" t="s">
        <v>39</v>
      </c>
      <c r="C59" s="281"/>
      <c r="D59" s="51"/>
      <c r="E59" s="51"/>
      <c r="F59" s="51"/>
      <c r="G59" s="51">
        <f t="shared" ref="G59:AM59" si="40">G57*$C58</f>
        <v>0</v>
      </c>
      <c r="H59" s="51">
        <f t="shared" si="40"/>
        <v>2702.112177896237</v>
      </c>
      <c r="I59" s="51">
        <f t="shared" si="40"/>
        <v>2702.112177896237</v>
      </c>
      <c r="J59" s="51">
        <f t="shared" si="40"/>
        <v>2702.112177896237</v>
      </c>
      <c r="K59" s="51">
        <f t="shared" si="40"/>
        <v>2702.112177896237</v>
      </c>
      <c r="L59" s="51">
        <f t="shared" si="40"/>
        <v>2702.112177896237</v>
      </c>
      <c r="M59" s="51">
        <f t="shared" si="40"/>
        <v>2702.112177896237</v>
      </c>
      <c r="N59" s="51">
        <f t="shared" si="40"/>
        <v>2879.6153062409962</v>
      </c>
      <c r="O59" s="278">
        <f t="shared" si="40"/>
        <v>6212.3212206441958</v>
      </c>
      <c r="P59" s="51">
        <f t="shared" si="40"/>
        <v>3080.5404876560151</v>
      </c>
      <c r="Q59" s="51">
        <f t="shared" si="40"/>
        <v>1420.6736374584871</v>
      </c>
      <c r="R59" s="51">
        <f t="shared" si="40"/>
        <v>3605.0503407186065</v>
      </c>
      <c r="S59" s="51">
        <f t="shared" si="40"/>
        <v>2702.112177896237</v>
      </c>
      <c r="T59" s="51">
        <f t="shared" si="40"/>
        <v>2702.112177896237</v>
      </c>
      <c r="U59" s="51">
        <f t="shared" si="40"/>
        <v>2702.112177896237</v>
      </c>
      <c r="V59" s="51">
        <f t="shared" si="40"/>
        <v>2702.112177896237</v>
      </c>
      <c r="W59" s="51">
        <f t="shared" si="40"/>
        <v>2702.112177896237</v>
      </c>
      <c r="X59" s="51">
        <f t="shared" si="40"/>
        <v>2702.112177896237</v>
      </c>
      <c r="Y59" s="51">
        <f t="shared" si="40"/>
        <v>2702.112177896237</v>
      </c>
      <c r="Z59" s="51">
        <f t="shared" si="40"/>
        <v>2879.6153062409962</v>
      </c>
      <c r="AA59" s="278">
        <f t="shared" si="40"/>
        <v>6212.3212206441958</v>
      </c>
      <c r="AB59" s="51">
        <f t="shared" si="40"/>
        <v>3080.5404876560151</v>
      </c>
      <c r="AC59" s="51">
        <f t="shared" si="40"/>
        <v>1420.6736374584871</v>
      </c>
      <c r="AD59" s="51">
        <f t="shared" si="40"/>
        <v>3605.0503407186065</v>
      </c>
      <c r="AE59" s="51">
        <f t="shared" si="40"/>
        <v>2702.112177896237</v>
      </c>
      <c r="AF59" s="51">
        <f t="shared" si="40"/>
        <v>2702.112177896237</v>
      </c>
      <c r="AG59" s="51">
        <f t="shared" si="40"/>
        <v>2702.112177896237</v>
      </c>
      <c r="AH59" s="51">
        <f t="shared" si="40"/>
        <v>2702.112177896237</v>
      </c>
      <c r="AI59" s="51">
        <f t="shared" si="40"/>
        <v>2702.112177896237</v>
      </c>
      <c r="AJ59" s="51">
        <f t="shared" si="40"/>
        <v>2702.112177896237</v>
      </c>
      <c r="AK59" s="51">
        <f t="shared" si="40"/>
        <v>2702.112177896237</v>
      </c>
      <c r="AL59" s="51">
        <f t="shared" si="40"/>
        <v>2879.6153062409962</v>
      </c>
      <c r="AM59" s="51">
        <f t="shared" si="40"/>
        <v>6212.3212206441958</v>
      </c>
      <c r="AN59" s="276">
        <f>SUM(D59:O59)</f>
        <v>25304.609594262616</v>
      </c>
      <c r="AO59" s="9"/>
      <c r="AP59" s="9"/>
      <c r="AQ59" s="9"/>
      <c r="AR59" s="9"/>
      <c r="AS59" s="9"/>
      <c r="AT59" s="9"/>
      <c r="AU59" s="9"/>
      <c r="AV59" s="9"/>
      <c r="AW59" s="9"/>
      <c r="AX59" s="9"/>
    </row>
    <row r="60" spans="1:50" ht="15.75" customHeight="1" outlineLevel="1" x14ac:dyDescent="0.2">
      <c r="A60" s="16"/>
      <c r="B60" s="49" t="s">
        <v>40</v>
      </c>
      <c r="C60" s="55">
        <f>C35</f>
        <v>0.91101158833203877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278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  <c r="AA60" s="278"/>
      <c r="AB60" s="51"/>
      <c r="AC60" s="51"/>
      <c r="AD60" s="51"/>
      <c r="AE60" s="51"/>
      <c r="AF60" s="51"/>
      <c r="AG60" s="51"/>
      <c r="AH60" s="51"/>
      <c r="AI60" s="51"/>
      <c r="AJ60" s="51"/>
      <c r="AK60" s="51"/>
      <c r="AL60" s="51"/>
      <c r="AM60" s="51"/>
      <c r="AN60" s="276"/>
      <c r="AO60" s="9"/>
      <c r="AP60" s="9"/>
      <c r="AQ60" s="9"/>
      <c r="AR60" s="9"/>
      <c r="AS60" s="9"/>
      <c r="AT60" s="9"/>
      <c r="AU60" s="9"/>
      <c r="AV60" s="9"/>
      <c r="AW60" s="9"/>
      <c r="AX60" s="9"/>
    </row>
    <row r="61" spans="1:50" ht="15.75" customHeight="1" outlineLevel="1" x14ac:dyDescent="0.2">
      <c r="A61" s="16"/>
      <c r="B61" s="53" t="s">
        <v>41</v>
      </c>
      <c r="C61" s="281"/>
      <c r="D61" s="51"/>
      <c r="E61" s="51"/>
      <c r="F61" s="51"/>
      <c r="G61" s="51">
        <f t="shared" ref="G61:AM61" si="41">G59*$C60</f>
        <v>0</v>
      </c>
      <c r="H61" s="288">
        <f t="shared" si="41"/>
        <v>2461.6555070365953</v>
      </c>
      <c r="I61" s="288">
        <f t="shared" si="41"/>
        <v>2461.6555070365953</v>
      </c>
      <c r="J61" s="288">
        <f t="shared" si="41"/>
        <v>2461.6555070365953</v>
      </c>
      <c r="K61" s="288">
        <f t="shared" si="41"/>
        <v>2461.6555070365953</v>
      </c>
      <c r="L61" s="288">
        <f t="shared" si="41"/>
        <v>2461.6555070365953</v>
      </c>
      <c r="M61" s="288">
        <f t="shared" si="41"/>
        <v>2461.6555070365953</v>
      </c>
      <c r="N61" s="288">
        <f t="shared" si="41"/>
        <v>2623.3629139238601</v>
      </c>
      <c r="O61" s="289">
        <f t="shared" si="41"/>
        <v>5659.4966224478985</v>
      </c>
      <c r="P61" s="288">
        <f t="shared" si="41"/>
        <v>2806.4080825806595</v>
      </c>
      <c r="Q61" s="288">
        <f t="shared" si="41"/>
        <v>1294.2501469625113</v>
      </c>
      <c r="R61" s="288">
        <f t="shared" si="41"/>
        <v>3284.2426369150153</v>
      </c>
      <c r="S61" s="288">
        <f t="shared" si="41"/>
        <v>2461.6555070365953</v>
      </c>
      <c r="T61" s="288">
        <f t="shared" si="41"/>
        <v>2461.6555070365953</v>
      </c>
      <c r="U61" s="288">
        <f t="shared" si="41"/>
        <v>2461.6555070365953</v>
      </c>
      <c r="V61" s="288">
        <f t="shared" si="41"/>
        <v>2461.6555070365953</v>
      </c>
      <c r="W61" s="288">
        <f t="shared" si="41"/>
        <v>2461.6555070365953</v>
      </c>
      <c r="X61" s="288">
        <f t="shared" si="41"/>
        <v>2461.6555070365953</v>
      </c>
      <c r="Y61" s="288">
        <f t="shared" si="41"/>
        <v>2461.6555070365953</v>
      </c>
      <c r="Z61" s="288">
        <f t="shared" si="41"/>
        <v>2623.3629139238601</v>
      </c>
      <c r="AA61" s="289">
        <f t="shared" si="41"/>
        <v>5659.4966224478985</v>
      </c>
      <c r="AB61" s="288">
        <f t="shared" si="41"/>
        <v>2806.4080825806595</v>
      </c>
      <c r="AC61" s="288">
        <f t="shared" si="41"/>
        <v>1294.2501469625113</v>
      </c>
      <c r="AD61" s="288">
        <f t="shared" si="41"/>
        <v>3284.2426369150153</v>
      </c>
      <c r="AE61" s="288">
        <f t="shared" si="41"/>
        <v>2461.6555070365953</v>
      </c>
      <c r="AF61" s="288">
        <f t="shared" si="41"/>
        <v>2461.6555070365953</v>
      </c>
      <c r="AG61" s="288">
        <f t="shared" si="41"/>
        <v>2461.6555070365953</v>
      </c>
      <c r="AH61" s="288">
        <f t="shared" si="41"/>
        <v>2461.6555070365953</v>
      </c>
      <c r="AI61" s="288">
        <f t="shared" si="41"/>
        <v>2461.6555070365953</v>
      </c>
      <c r="AJ61" s="288">
        <f t="shared" si="41"/>
        <v>2461.6555070365953</v>
      </c>
      <c r="AK61" s="288">
        <f t="shared" si="41"/>
        <v>2461.6555070365953</v>
      </c>
      <c r="AL61" s="288">
        <f t="shared" si="41"/>
        <v>2623.3629139238601</v>
      </c>
      <c r="AM61" s="288">
        <f t="shared" si="41"/>
        <v>5659.4966224478985</v>
      </c>
      <c r="AN61" s="276">
        <f>SUM(D61:O61)</f>
        <v>23052.792578591332</v>
      </c>
      <c r="AO61" s="9"/>
      <c r="AP61" s="9"/>
      <c r="AQ61" s="9"/>
      <c r="AR61" s="9"/>
      <c r="AS61" s="9"/>
      <c r="AT61" s="9"/>
      <c r="AU61" s="9"/>
      <c r="AV61" s="9"/>
      <c r="AW61" s="9"/>
      <c r="AX61" s="9"/>
    </row>
    <row r="62" spans="1:50" ht="15.75" customHeight="1" outlineLevel="1" x14ac:dyDescent="0.2">
      <c r="A62" s="16"/>
      <c r="B62" s="53" t="s">
        <v>44</v>
      </c>
      <c r="C62" s="58">
        <v>490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278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  <c r="AA62" s="278"/>
      <c r="AB62" s="51"/>
      <c r="AC62" s="51"/>
      <c r="AD62" s="51"/>
      <c r="AE62" s="51"/>
      <c r="AF62" s="51"/>
      <c r="AG62" s="51"/>
      <c r="AH62" s="51"/>
      <c r="AI62" s="51"/>
      <c r="AJ62" s="51"/>
      <c r="AK62" s="51"/>
      <c r="AL62" s="51"/>
      <c r="AM62" s="51"/>
      <c r="AN62" s="276"/>
      <c r="AO62" s="9"/>
      <c r="AP62" s="9"/>
      <c r="AQ62" s="9"/>
      <c r="AR62" s="9"/>
      <c r="AS62" s="9"/>
      <c r="AT62" s="9"/>
      <c r="AU62" s="9"/>
      <c r="AV62" s="9"/>
      <c r="AW62" s="9"/>
      <c r="AX62" s="9"/>
    </row>
    <row r="63" spans="1:50" ht="16.5" customHeight="1" outlineLevel="1" x14ac:dyDescent="0.2">
      <c r="A63" s="48"/>
      <c r="B63" s="290"/>
      <c r="C63" s="28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278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278"/>
      <c r="AB63" s="51"/>
      <c r="AC63" s="51"/>
      <c r="AD63" s="51"/>
      <c r="AE63" s="51"/>
      <c r="AF63" s="51"/>
      <c r="AG63" s="51"/>
      <c r="AH63" s="51"/>
      <c r="AI63" s="51"/>
      <c r="AJ63" s="51"/>
      <c r="AK63" s="51"/>
      <c r="AL63" s="51"/>
      <c r="AM63" s="51"/>
      <c r="AN63" s="276"/>
      <c r="AO63" s="9"/>
      <c r="AP63" s="9"/>
      <c r="AQ63" s="9"/>
      <c r="AR63" s="9"/>
      <c r="AS63" s="9"/>
      <c r="AT63" s="9"/>
      <c r="AU63" s="9"/>
      <c r="AV63" s="9"/>
      <c r="AW63" s="9"/>
      <c r="AX63" s="9"/>
    </row>
    <row r="64" spans="1:50" ht="21.75" customHeight="1" outlineLevel="1" x14ac:dyDescent="0.2">
      <c r="A64" s="48"/>
      <c r="B64" s="228" t="s">
        <v>237</v>
      </c>
      <c r="C64" s="52"/>
      <c r="D64" s="51"/>
      <c r="E64" s="51"/>
      <c r="F64" s="51"/>
      <c r="G64" s="51">
        <f t="shared" ref="G64:AM64" si="42">G61*$C62</f>
        <v>0</v>
      </c>
      <c r="H64" s="51">
        <f t="shared" si="42"/>
        <v>1206211.1984479318</v>
      </c>
      <c r="I64" s="51">
        <f t="shared" si="42"/>
        <v>1206211.1984479318</v>
      </c>
      <c r="J64" s="51">
        <f t="shared" si="42"/>
        <v>1206211.1984479318</v>
      </c>
      <c r="K64" s="51">
        <f t="shared" si="42"/>
        <v>1206211.1984479318</v>
      </c>
      <c r="L64" s="51">
        <f t="shared" si="42"/>
        <v>1206211.1984479318</v>
      </c>
      <c r="M64" s="51">
        <f t="shared" si="42"/>
        <v>1206211.1984479318</v>
      </c>
      <c r="N64" s="51">
        <f t="shared" si="42"/>
        <v>1285447.8278226915</v>
      </c>
      <c r="O64" s="278">
        <f t="shared" si="42"/>
        <v>2773153.3449994703</v>
      </c>
      <c r="P64" s="51">
        <f t="shared" si="42"/>
        <v>1375139.9604645232</v>
      </c>
      <c r="Q64" s="51">
        <f t="shared" si="42"/>
        <v>634182.57201163052</v>
      </c>
      <c r="R64" s="51">
        <f t="shared" si="42"/>
        <v>1609278.8920883576</v>
      </c>
      <c r="S64" s="51">
        <f t="shared" si="42"/>
        <v>1206211.1984479318</v>
      </c>
      <c r="T64" s="51">
        <f t="shared" si="42"/>
        <v>1206211.1984479318</v>
      </c>
      <c r="U64" s="51">
        <f t="shared" si="42"/>
        <v>1206211.1984479318</v>
      </c>
      <c r="V64" s="51">
        <f t="shared" si="42"/>
        <v>1206211.1984479318</v>
      </c>
      <c r="W64" s="51">
        <f t="shared" si="42"/>
        <v>1206211.1984479318</v>
      </c>
      <c r="X64" s="51">
        <f t="shared" si="42"/>
        <v>1206211.1984479318</v>
      </c>
      <c r="Y64" s="51">
        <f t="shared" si="42"/>
        <v>1206211.1984479318</v>
      </c>
      <c r="Z64" s="51">
        <f t="shared" si="42"/>
        <v>1285447.8278226915</v>
      </c>
      <c r="AA64" s="278">
        <f t="shared" si="42"/>
        <v>2773153.3449994703</v>
      </c>
      <c r="AB64" s="51">
        <f t="shared" si="42"/>
        <v>1375139.9604645232</v>
      </c>
      <c r="AC64" s="51">
        <f t="shared" si="42"/>
        <v>634182.57201163052</v>
      </c>
      <c r="AD64" s="51">
        <f t="shared" si="42"/>
        <v>1609278.8920883576</v>
      </c>
      <c r="AE64" s="51">
        <f t="shared" si="42"/>
        <v>1206211.1984479318</v>
      </c>
      <c r="AF64" s="51">
        <f t="shared" si="42"/>
        <v>1206211.1984479318</v>
      </c>
      <c r="AG64" s="51">
        <f t="shared" si="42"/>
        <v>1206211.1984479318</v>
      </c>
      <c r="AH64" s="51">
        <f t="shared" si="42"/>
        <v>1206211.1984479318</v>
      </c>
      <c r="AI64" s="51">
        <f t="shared" si="42"/>
        <v>1206211.1984479318</v>
      </c>
      <c r="AJ64" s="51">
        <f t="shared" si="42"/>
        <v>1206211.1984479318</v>
      </c>
      <c r="AK64" s="51">
        <f t="shared" si="42"/>
        <v>1206211.1984479318</v>
      </c>
      <c r="AL64" s="51">
        <f t="shared" si="42"/>
        <v>1285447.8278226915</v>
      </c>
      <c r="AM64" s="51">
        <f t="shared" si="42"/>
        <v>2773153.3449994703</v>
      </c>
      <c r="AN64" s="276">
        <f>SUM(D64:O64)</f>
        <v>11295868.363509752</v>
      </c>
      <c r="AO64" s="9"/>
      <c r="AP64" s="9"/>
      <c r="AQ64" s="9"/>
      <c r="AR64" s="9"/>
      <c r="AS64" s="9"/>
      <c r="AT64" s="9"/>
      <c r="AU64" s="9"/>
      <c r="AV64" s="9"/>
      <c r="AW64" s="9"/>
      <c r="AX64" s="9"/>
    </row>
    <row r="65" spans="1:50" ht="15.75" customHeight="1" x14ac:dyDescent="0.2">
      <c r="A65" s="18"/>
      <c r="B65" s="69"/>
      <c r="C65" s="70"/>
      <c r="D65" s="72"/>
      <c r="E65" s="72"/>
      <c r="F65" s="72"/>
      <c r="G65" s="72"/>
      <c r="H65" s="72"/>
      <c r="I65" s="51"/>
      <c r="J65" s="72"/>
      <c r="K65" s="72"/>
      <c r="L65" s="72"/>
      <c r="M65" s="72"/>
      <c r="N65" s="72"/>
      <c r="O65" s="291"/>
      <c r="P65" s="72"/>
      <c r="Q65" s="72"/>
      <c r="R65" s="72"/>
      <c r="S65" s="72"/>
      <c r="T65" s="72"/>
      <c r="U65" s="72"/>
      <c r="V65" s="72"/>
      <c r="W65" s="72"/>
      <c r="X65" s="72"/>
      <c r="Y65" s="72"/>
      <c r="Z65" s="72"/>
      <c r="AA65" s="291"/>
      <c r="AB65" s="72"/>
      <c r="AC65" s="72"/>
      <c r="AD65" s="72"/>
      <c r="AE65" s="72"/>
      <c r="AF65" s="72"/>
      <c r="AG65" s="72"/>
      <c r="AH65" s="72"/>
      <c r="AI65" s="72"/>
      <c r="AJ65" s="72"/>
      <c r="AK65" s="72"/>
      <c r="AL65" s="72"/>
      <c r="AM65" s="72"/>
      <c r="AN65" s="246"/>
      <c r="AO65" s="9"/>
      <c r="AP65" s="9"/>
      <c r="AQ65" s="9"/>
      <c r="AR65" s="9"/>
      <c r="AS65" s="9"/>
      <c r="AT65" s="9"/>
      <c r="AU65" s="9"/>
      <c r="AV65" s="9"/>
      <c r="AW65" s="9"/>
      <c r="AX65" s="9"/>
    </row>
    <row r="66" spans="1:50" ht="15.75" customHeight="1" x14ac:dyDescent="0.2">
      <c r="A66" s="18"/>
      <c r="B66" s="75" t="s">
        <v>48</v>
      </c>
      <c r="C66" s="76"/>
      <c r="D66" s="77">
        <f t="shared" ref="D66:AM66" si="43">D67+D74+D81+D88</f>
        <v>-1257322.9279999998</v>
      </c>
      <c r="E66" s="77">
        <f t="shared" si="43"/>
        <v>-895203.71519999986</v>
      </c>
      <c r="F66" s="77">
        <f t="shared" si="43"/>
        <v>-1953820.3991999999</v>
      </c>
      <c r="G66" s="77">
        <f t="shared" si="43"/>
        <v>-1344322.5511999999</v>
      </c>
      <c r="H66" s="77">
        <f t="shared" si="43"/>
        <v>-1953158.8844443471</v>
      </c>
      <c r="I66" s="77">
        <f t="shared" si="43"/>
        <v>-1953158.8844443471</v>
      </c>
      <c r="J66" s="77">
        <f t="shared" si="43"/>
        <v>-1953158.8844443471</v>
      </c>
      <c r="K66" s="77">
        <f t="shared" si="43"/>
        <v>-1953158.8844443471</v>
      </c>
      <c r="L66" s="77">
        <f t="shared" si="43"/>
        <v>-1953158.8844443471</v>
      </c>
      <c r="M66" s="77">
        <f t="shared" si="43"/>
        <v>-1953158.8844443471</v>
      </c>
      <c r="N66" s="77">
        <f t="shared" si="43"/>
        <v>-2051737.4611749605</v>
      </c>
      <c r="O66" s="273">
        <f t="shared" si="43"/>
        <v>-3770235.7166367937</v>
      </c>
      <c r="P66" s="77">
        <f t="shared" si="43"/>
        <v>-2128067.6558485092</v>
      </c>
      <c r="Q66" s="77">
        <f t="shared" si="43"/>
        <v>-1342258.373147944</v>
      </c>
      <c r="R66" s="77">
        <f t="shared" si="43"/>
        <v>-2615752.0941029168</v>
      </c>
      <c r="S66" s="77">
        <f t="shared" si="43"/>
        <v>-1953158.8844443471</v>
      </c>
      <c r="T66" s="77">
        <f t="shared" si="43"/>
        <v>-1953158.8844443471</v>
      </c>
      <c r="U66" s="77">
        <f t="shared" si="43"/>
        <v>-1953158.8844443471</v>
      </c>
      <c r="V66" s="77">
        <f t="shared" si="43"/>
        <v>-1953158.8844443471</v>
      </c>
      <c r="W66" s="77">
        <f t="shared" si="43"/>
        <v>-1953158.8844443471</v>
      </c>
      <c r="X66" s="77">
        <f t="shared" si="43"/>
        <v>-1953158.8844443471</v>
      </c>
      <c r="Y66" s="77">
        <f t="shared" si="43"/>
        <v>-1953158.8844443471</v>
      </c>
      <c r="Z66" s="77">
        <f t="shared" si="43"/>
        <v>-2051737.4611749605</v>
      </c>
      <c r="AA66" s="273">
        <f t="shared" si="43"/>
        <v>-3770235.7166367937</v>
      </c>
      <c r="AB66" s="77">
        <f t="shared" si="43"/>
        <v>-2128067.6558485092</v>
      </c>
      <c r="AC66" s="77">
        <f t="shared" si="43"/>
        <v>-1342258.373147944</v>
      </c>
      <c r="AD66" s="77">
        <f t="shared" si="43"/>
        <v>-2615752.0941029168</v>
      </c>
      <c r="AE66" s="77">
        <f t="shared" si="43"/>
        <v>-1953158.8844443471</v>
      </c>
      <c r="AF66" s="77">
        <f t="shared" si="43"/>
        <v>-1953158.8844443471</v>
      </c>
      <c r="AG66" s="77">
        <f t="shared" si="43"/>
        <v>-1953158.8844443471</v>
      </c>
      <c r="AH66" s="77">
        <f t="shared" si="43"/>
        <v>-1953158.8844443471</v>
      </c>
      <c r="AI66" s="77">
        <f t="shared" si="43"/>
        <v>-1953158.8844443471</v>
      </c>
      <c r="AJ66" s="77">
        <f t="shared" si="43"/>
        <v>-1953158.8844443471</v>
      </c>
      <c r="AK66" s="77">
        <f t="shared" si="43"/>
        <v>-1953158.8844443471</v>
      </c>
      <c r="AL66" s="77">
        <f t="shared" si="43"/>
        <v>-2051737.4611749605</v>
      </c>
      <c r="AM66" s="77">
        <f t="shared" si="43"/>
        <v>-3770235.7166367937</v>
      </c>
      <c r="AN66" s="274">
        <f t="shared" ref="AN66:AN67" si="44">SUM(D66:O66)</f>
        <v>-22991596.078077838</v>
      </c>
      <c r="AO66" s="9"/>
      <c r="AP66" s="9"/>
      <c r="AQ66" s="9"/>
      <c r="AR66" s="9"/>
      <c r="AS66" s="9"/>
      <c r="AT66" s="9"/>
      <c r="AU66" s="9"/>
      <c r="AV66" s="9"/>
      <c r="AW66" s="9"/>
      <c r="AX66" s="9"/>
    </row>
    <row r="67" spans="1:50" ht="15.75" customHeight="1" x14ac:dyDescent="0.2">
      <c r="A67" s="18"/>
      <c r="B67" s="78" t="s">
        <v>242</v>
      </c>
      <c r="C67" s="79"/>
      <c r="D67" s="80">
        <f t="shared" ref="D67:AM67" si="45">SUM(D68:D73)</f>
        <v>-471036.51839999994</v>
      </c>
      <c r="E67" s="80">
        <f t="shared" si="45"/>
        <v>-564894.73039999988</v>
      </c>
      <c r="F67" s="80">
        <f t="shared" si="45"/>
        <v>-961347.46960000007</v>
      </c>
      <c r="G67" s="80">
        <f t="shared" si="45"/>
        <v>-588970.29520000005</v>
      </c>
      <c r="H67" s="80">
        <f t="shared" si="45"/>
        <v>-588970.29520000005</v>
      </c>
      <c r="I67" s="80">
        <f t="shared" si="45"/>
        <v>-588970.29520000005</v>
      </c>
      <c r="J67" s="80">
        <f t="shared" si="45"/>
        <v>-588970.29520000005</v>
      </c>
      <c r="K67" s="80">
        <f t="shared" si="45"/>
        <v>-588970.29520000005</v>
      </c>
      <c r="L67" s="80">
        <f t="shared" si="45"/>
        <v>-588970.29520000005</v>
      </c>
      <c r="M67" s="80">
        <f t="shared" si="45"/>
        <v>-588970.29520000005</v>
      </c>
      <c r="N67" s="80">
        <f t="shared" si="45"/>
        <v>-585522.35839999991</v>
      </c>
      <c r="O67" s="292">
        <f t="shared" si="45"/>
        <v>-617494.13599999994</v>
      </c>
      <c r="P67" s="80">
        <f t="shared" si="45"/>
        <v>-575805.44559999998</v>
      </c>
      <c r="Q67" s="80">
        <f t="shared" si="45"/>
        <v>-620942.07279999997</v>
      </c>
      <c r="R67" s="80">
        <f t="shared" si="45"/>
        <v>-797413.7472000001</v>
      </c>
      <c r="S67" s="80">
        <f t="shared" si="45"/>
        <v>-588970.29520000005</v>
      </c>
      <c r="T67" s="80">
        <f t="shared" si="45"/>
        <v>-588970.29520000005</v>
      </c>
      <c r="U67" s="80">
        <f t="shared" si="45"/>
        <v>-588970.29520000005</v>
      </c>
      <c r="V67" s="80">
        <f t="shared" si="45"/>
        <v>-588970.29520000005</v>
      </c>
      <c r="W67" s="80">
        <f t="shared" si="45"/>
        <v>-588970.29520000005</v>
      </c>
      <c r="X67" s="80">
        <f t="shared" si="45"/>
        <v>-588970.29520000005</v>
      </c>
      <c r="Y67" s="80">
        <f t="shared" si="45"/>
        <v>-588970.29520000005</v>
      </c>
      <c r="Z67" s="80">
        <f t="shared" si="45"/>
        <v>-585522.35839999991</v>
      </c>
      <c r="AA67" s="292">
        <f t="shared" si="45"/>
        <v>-617494.13599999994</v>
      </c>
      <c r="AB67" s="80">
        <f t="shared" si="45"/>
        <v>-575805.44559999998</v>
      </c>
      <c r="AC67" s="80">
        <f t="shared" si="45"/>
        <v>-620942.07279999997</v>
      </c>
      <c r="AD67" s="80">
        <f t="shared" si="45"/>
        <v>-797413.7472000001</v>
      </c>
      <c r="AE67" s="80">
        <f t="shared" si="45"/>
        <v>-588970.29520000005</v>
      </c>
      <c r="AF67" s="80">
        <f t="shared" si="45"/>
        <v>-588970.29520000005</v>
      </c>
      <c r="AG67" s="80">
        <f t="shared" si="45"/>
        <v>-588970.29520000005</v>
      </c>
      <c r="AH67" s="80">
        <f t="shared" si="45"/>
        <v>-588970.29520000005</v>
      </c>
      <c r="AI67" s="80">
        <f t="shared" si="45"/>
        <v>-588970.29520000005</v>
      </c>
      <c r="AJ67" s="80">
        <f t="shared" si="45"/>
        <v>-588970.29520000005</v>
      </c>
      <c r="AK67" s="80">
        <f t="shared" si="45"/>
        <v>-588970.29520000005</v>
      </c>
      <c r="AL67" s="80">
        <f t="shared" si="45"/>
        <v>-585522.35839999991</v>
      </c>
      <c r="AM67" s="80">
        <f t="shared" si="45"/>
        <v>-617494.13599999994</v>
      </c>
      <c r="AN67" s="293">
        <f t="shared" si="44"/>
        <v>-7323087.2791999988</v>
      </c>
      <c r="AO67" s="9"/>
      <c r="AP67" s="9"/>
      <c r="AQ67" s="9"/>
      <c r="AR67" s="9"/>
      <c r="AS67" s="9"/>
      <c r="AT67" s="9"/>
      <c r="AU67" s="9"/>
      <c r="AV67" s="9"/>
      <c r="AW67" s="9"/>
      <c r="AX67" s="9"/>
    </row>
    <row r="68" spans="1:50" ht="15.75" customHeight="1" outlineLevel="1" x14ac:dyDescent="0.2">
      <c r="A68" s="16"/>
      <c r="B68" s="81" t="s">
        <v>243</v>
      </c>
      <c r="C68" s="55">
        <v>0.2072</v>
      </c>
      <c r="D68" s="279">
        <f t="shared" ref="D68:AM68" si="46">-D16*$C68</f>
        <v>-152306.9184</v>
      </c>
      <c r="E68" s="279">
        <f t="shared" si="46"/>
        <v>-183404.53039999999</v>
      </c>
      <c r="F68" s="279">
        <f t="shared" si="46"/>
        <v>-304396.06959999999</v>
      </c>
      <c r="G68" s="51">
        <f t="shared" si="46"/>
        <v>-186488.4952</v>
      </c>
      <c r="H68" s="51">
        <f t="shared" si="46"/>
        <v>-186488.4952</v>
      </c>
      <c r="I68" s="51">
        <f t="shared" si="46"/>
        <v>-186488.4952</v>
      </c>
      <c r="J68" s="51">
        <f t="shared" si="46"/>
        <v>-186488.4952</v>
      </c>
      <c r="K68" s="51">
        <f t="shared" si="46"/>
        <v>-186488.4952</v>
      </c>
      <c r="L68" s="51">
        <f t="shared" si="46"/>
        <v>-186488.4952</v>
      </c>
      <c r="M68" s="51">
        <f t="shared" si="46"/>
        <v>-186488.4952</v>
      </c>
      <c r="N68" s="51">
        <f t="shared" si="46"/>
        <v>-185396.75839999999</v>
      </c>
      <c r="O68" s="278">
        <f t="shared" si="46"/>
        <v>-195520.136</v>
      </c>
      <c r="P68" s="51">
        <f t="shared" si="46"/>
        <v>-182320.04559999998</v>
      </c>
      <c r="Q68" s="51">
        <f t="shared" si="46"/>
        <v>-196611.87279999998</v>
      </c>
      <c r="R68" s="51">
        <f t="shared" si="46"/>
        <v>-252488.9472</v>
      </c>
      <c r="S68" s="51">
        <f t="shared" si="46"/>
        <v>-186488.4952</v>
      </c>
      <c r="T68" s="51">
        <f t="shared" si="46"/>
        <v>-186488.4952</v>
      </c>
      <c r="U68" s="51">
        <f t="shared" si="46"/>
        <v>-186488.4952</v>
      </c>
      <c r="V68" s="51">
        <f t="shared" si="46"/>
        <v>-186488.4952</v>
      </c>
      <c r="W68" s="51">
        <f t="shared" si="46"/>
        <v>-186488.4952</v>
      </c>
      <c r="X68" s="51">
        <f t="shared" si="46"/>
        <v>-186488.4952</v>
      </c>
      <c r="Y68" s="51">
        <f t="shared" si="46"/>
        <v>-186488.4952</v>
      </c>
      <c r="Z68" s="51">
        <f t="shared" si="46"/>
        <v>-185396.75839999999</v>
      </c>
      <c r="AA68" s="278">
        <f t="shared" si="46"/>
        <v>-195520.136</v>
      </c>
      <c r="AB68" s="51">
        <f t="shared" si="46"/>
        <v>-182320.04559999998</v>
      </c>
      <c r="AC68" s="51">
        <f t="shared" si="46"/>
        <v>-196611.87279999998</v>
      </c>
      <c r="AD68" s="51">
        <f t="shared" si="46"/>
        <v>-252488.9472</v>
      </c>
      <c r="AE68" s="51">
        <f t="shared" si="46"/>
        <v>-186488.4952</v>
      </c>
      <c r="AF68" s="51">
        <f t="shared" si="46"/>
        <v>-186488.4952</v>
      </c>
      <c r="AG68" s="51">
        <f t="shared" si="46"/>
        <v>-186488.4952</v>
      </c>
      <c r="AH68" s="51">
        <f t="shared" si="46"/>
        <v>-186488.4952</v>
      </c>
      <c r="AI68" s="51">
        <f t="shared" si="46"/>
        <v>-186488.4952</v>
      </c>
      <c r="AJ68" s="51">
        <f t="shared" si="46"/>
        <v>-186488.4952</v>
      </c>
      <c r="AK68" s="51">
        <f t="shared" si="46"/>
        <v>-186488.4952</v>
      </c>
      <c r="AL68" s="51">
        <f t="shared" si="46"/>
        <v>-185396.75839999999</v>
      </c>
      <c r="AM68" s="51">
        <f t="shared" si="46"/>
        <v>-195520.136</v>
      </c>
      <c r="AN68" s="294"/>
      <c r="AO68" s="9"/>
      <c r="AP68" s="9"/>
      <c r="AQ68" s="9"/>
      <c r="AR68" s="9"/>
      <c r="AS68" s="9"/>
      <c r="AT68" s="9"/>
      <c r="AU68" s="9"/>
      <c r="AV68" s="9"/>
      <c r="AW68" s="9"/>
      <c r="AX68" s="9"/>
    </row>
    <row r="69" spans="1:50" ht="15.75" customHeight="1" outlineLevel="1" x14ac:dyDescent="0.2">
      <c r="A69" s="48"/>
      <c r="B69" s="81" t="s">
        <v>51</v>
      </c>
      <c r="C69" s="50">
        <v>113</v>
      </c>
      <c r="D69" s="279">
        <f t="shared" ref="D69:AM69" si="47">-$C69*D24</f>
        <v>-168144</v>
      </c>
      <c r="E69" s="279">
        <f t="shared" si="47"/>
        <v>-201253</v>
      </c>
      <c r="F69" s="279">
        <f t="shared" si="47"/>
        <v>-346571</v>
      </c>
      <c r="G69" s="51">
        <f t="shared" si="47"/>
        <v>-212327</v>
      </c>
      <c r="H69" s="51">
        <f t="shared" si="47"/>
        <v>-212327</v>
      </c>
      <c r="I69" s="51">
        <f t="shared" si="47"/>
        <v>-212327</v>
      </c>
      <c r="J69" s="51">
        <f t="shared" si="47"/>
        <v>-212327</v>
      </c>
      <c r="K69" s="51">
        <f t="shared" si="47"/>
        <v>-212327</v>
      </c>
      <c r="L69" s="51">
        <f t="shared" si="47"/>
        <v>-212327</v>
      </c>
      <c r="M69" s="51">
        <f t="shared" si="47"/>
        <v>-212327</v>
      </c>
      <c r="N69" s="51">
        <f t="shared" si="47"/>
        <v>-211084</v>
      </c>
      <c r="O69" s="278">
        <f t="shared" si="47"/>
        <v>-222610</v>
      </c>
      <c r="P69" s="51">
        <f t="shared" si="47"/>
        <v>-207581</v>
      </c>
      <c r="Q69" s="51">
        <f t="shared" si="47"/>
        <v>-223853</v>
      </c>
      <c r="R69" s="51">
        <f t="shared" si="47"/>
        <v>-287472</v>
      </c>
      <c r="S69" s="51">
        <f t="shared" si="47"/>
        <v>-212327</v>
      </c>
      <c r="T69" s="51">
        <f t="shared" si="47"/>
        <v>-212327</v>
      </c>
      <c r="U69" s="51">
        <f t="shared" si="47"/>
        <v>-212327</v>
      </c>
      <c r="V69" s="51">
        <f t="shared" si="47"/>
        <v>-212327</v>
      </c>
      <c r="W69" s="51">
        <f t="shared" si="47"/>
        <v>-212327</v>
      </c>
      <c r="X69" s="51">
        <f t="shared" si="47"/>
        <v>-212327</v>
      </c>
      <c r="Y69" s="51">
        <f t="shared" si="47"/>
        <v>-212327</v>
      </c>
      <c r="Z69" s="51">
        <f t="shared" si="47"/>
        <v>-211084</v>
      </c>
      <c r="AA69" s="278">
        <f t="shared" si="47"/>
        <v>-222610</v>
      </c>
      <c r="AB69" s="51">
        <f t="shared" si="47"/>
        <v>-207581</v>
      </c>
      <c r="AC69" s="51">
        <f t="shared" si="47"/>
        <v>-223853</v>
      </c>
      <c r="AD69" s="51">
        <f t="shared" si="47"/>
        <v>-287472</v>
      </c>
      <c r="AE69" s="51">
        <f t="shared" si="47"/>
        <v>-212327</v>
      </c>
      <c r="AF69" s="51">
        <f t="shared" si="47"/>
        <v>-212327</v>
      </c>
      <c r="AG69" s="51">
        <f t="shared" si="47"/>
        <v>-212327</v>
      </c>
      <c r="AH69" s="51">
        <f t="shared" si="47"/>
        <v>-212327</v>
      </c>
      <c r="AI69" s="51">
        <f t="shared" si="47"/>
        <v>-212327</v>
      </c>
      <c r="AJ69" s="51">
        <f t="shared" si="47"/>
        <v>-212327</v>
      </c>
      <c r="AK69" s="51">
        <f t="shared" si="47"/>
        <v>-212327</v>
      </c>
      <c r="AL69" s="51">
        <f t="shared" si="47"/>
        <v>-211084</v>
      </c>
      <c r="AM69" s="51">
        <f t="shared" si="47"/>
        <v>-222610</v>
      </c>
      <c r="AN69" s="294"/>
      <c r="AO69" s="9"/>
      <c r="AP69" s="9"/>
      <c r="AQ69" s="9"/>
      <c r="AR69" s="9"/>
      <c r="AS69" s="9"/>
      <c r="AT69" s="9"/>
      <c r="AU69" s="9"/>
      <c r="AV69" s="9"/>
      <c r="AW69" s="9"/>
      <c r="AX69" s="9"/>
    </row>
    <row r="70" spans="1:50" ht="15.75" customHeight="1" outlineLevel="1" x14ac:dyDescent="0.2">
      <c r="A70" s="48"/>
      <c r="B70" s="46" t="s">
        <v>244</v>
      </c>
      <c r="C70" s="50">
        <v>75.8</v>
      </c>
      <c r="D70" s="279">
        <f t="shared" ref="D70:AM70" si="48">-D24*$C70</f>
        <v>-112790.39999999999</v>
      </c>
      <c r="E70" s="279">
        <f t="shared" si="48"/>
        <v>-134999.79999999999</v>
      </c>
      <c r="F70" s="279">
        <f t="shared" si="48"/>
        <v>-232478.6</v>
      </c>
      <c r="G70" s="51">
        <f t="shared" si="48"/>
        <v>-142428.19999999998</v>
      </c>
      <c r="H70" s="51">
        <f t="shared" si="48"/>
        <v>-142428.19999999998</v>
      </c>
      <c r="I70" s="51">
        <f t="shared" si="48"/>
        <v>-142428.19999999998</v>
      </c>
      <c r="J70" s="51">
        <f t="shared" si="48"/>
        <v>-142428.19999999998</v>
      </c>
      <c r="K70" s="51">
        <f t="shared" si="48"/>
        <v>-142428.19999999998</v>
      </c>
      <c r="L70" s="51">
        <f t="shared" si="48"/>
        <v>-142428.19999999998</v>
      </c>
      <c r="M70" s="51">
        <f t="shared" si="48"/>
        <v>-142428.19999999998</v>
      </c>
      <c r="N70" s="51">
        <f t="shared" si="48"/>
        <v>-141594.4</v>
      </c>
      <c r="O70" s="278">
        <f t="shared" si="48"/>
        <v>-149326</v>
      </c>
      <c r="P70" s="51">
        <f t="shared" si="48"/>
        <v>-139244.6</v>
      </c>
      <c r="Q70" s="51">
        <f t="shared" si="48"/>
        <v>-150159.79999999999</v>
      </c>
      <c r="R70" s="51">
        <f t="shared" si="48"/>
        <v>-192835.19999999998</v>
      </c>
      <c r="S70" s="51">
        <f t="shared" si="48"/>
        <v>-142428.19999999998</v>
      </c>
      <c r="T70" s="51">
        <f t="shared" si="48"/>
        <v>-142428.19999999998</v>
      </c>
      <c r="U70" s="51">
        <f t="shared" si="48"/>
        <v>-142428.19999999998</v>
      </c>
      <c r="V70" s="51">
        <f t="shared" si="48"/>
        <v>-142428.19999999998</v>
      </c>
      <c r="W70" s="51">
        <f t="shared" si="48"/>
        <v>-142428.19999999998</v>
      </c>
      <c r="X70" s="51">
        <f t="shared" si="48"/>
        <v>-142428.19999999998</v>
      </c>
      <c r="Y70" s="51">
        <f t="shared" si="48"/>
        <v>-142428.19999999998</v>
      </c>
      <c r="Z70" s="51">
        <f t="shared" si="48"/>
        <v>-141594.4</v>
      </c>
      <c r="AA70" s="278">
        <f t="shared" si="48"/>
        <v>-149326</v>
      </c>
      <c r="AB70" s="51">
        <f t="shared" si="48"/>
        <v>-139244.6</v>
      </c>
      <c r="AC70" s="51">
        <f t="shared" si="48"/>
        <v>-150159.79999999999</v>
      </c>
      <c r="AD70" s="51">
        <f t="shared" si="48"/>
        <v>-192835.19999999998</v>
      </c>
      <c r="AE70" s="51">
        <f t="shared" si="48"/>
        <v>-142428.19999999998</v>
      </c>
      <c r="AF70" s="51">
        <f t="shared" si="48"/>
        <v>-142428.19999999998</v>
      </c>
      <c r="AG70" s="51">
        <f t="shared" si="48"/>
        <v>-142428.19999999998</v>
      </c>
      <c r="AH70" s="51">
        <f t="shared" si="48"/>
        <v>-142428.19999999998</v>
      </c>
      <c r="AI70" s="51">
        <f t="shared" si="48"/>
        <v>-142428.19999999998</v>
      </c>
      <c r="AJ70" s="51">
        <f t="shared" si="48"/>
        <v>-142428.19999999998</v>
      </c>
      <c r="AK70" s="51">
        <f t="shared" si="48"/>
        <v>-142428.19999999998</v>
      </c>
      <c r="AL70" s="51">
        <f t="shared" si="48"/>
        <v>-141594.4</v>
      </c>
      <c r="AM70" s="51">
        <f t="shared" si="48"/>
        <v>-149326</v>
      </c>
      <c r="AN70" s="294"/>
      <c r="AO70" s="9"/>
      <c r="AP70" s="9"/>
      <c r="AQ70" s="9"/>
      <c r="AR70" s="9"/>
      <c r="AS70" s="9"/>
      <c r="AT70" s="9"/>
      <c r="AU70" s="9"/>
      <c r="AV70" s="9"/>
      <c r="AW70" s="9"/>
      <c r="AX70" s="9"/>
    </row>
    <row r="71" spans="1:50" ht="15.75" customHeight="1" outlineLevel="1" x14ac:dyDescent="0.2">
      <c r="A71" s="16"/>
      <c r="B71" s="83" t="s">
        <v>245</v>
      </c>
      <c r="C71" s="55">
        <v>0</v>
      </c>
      <c r="D71" s="279">
        <f t="shared" ref="D71:AM71" si="49">-$C71*D16</f>
        <v>0</v>
      </c>
      <c r="E71" s="279">
        <f t="shared" si="49"/>
        <v>0</v>
      </c>
      <c r="F71" s="279">
        <f t="shared" si="49"/>
        <v>0</v>
      </c>
      <c r="G71" s="51">
        <f t="shared" si="49"/>
        <v>0</v>
      </c>
      <c r="H71" s="51">
        <f t="shared" si="49"/>
        <v>0</v>
      </c>
      <c r="I71" s="51">
        <f t="shared" si="49"/>
        <v>0</v>
      </c>
      <c r="J71" s="51">
        <f t="shared" si="49"/>
        <v>0</v>
      </c>
      <c r="K71" s="51">
        <f t="shared" si="49"/>
        <v>0</v>
      </c>
      <c r="L71" s="51">
        <f t="shared" si="49"/>
        <v>0</v>
      </c>
      <c r="M71" s="51">
        <f t="shared" si="49"/>
        <v>0</v>
      </c>
      <c r="N71" s="51">
        <f t="shared" si="49"/>
        <v>0</v>
      </c>
      <c r="O71" s="278">
        <f t="shared" si="49"/>
        <v>0</v>
      </c>
      <c r="P71" s="51">
        <f t="shared" si="49"/>
        <v>0</v>
      </c>
      <c r="Q71" s="51">
        <f t="shared" si="49"/>
        <v>0</v>
      </c>
      <c r="R71" s="51">
        <f t="shared" si="49"/>
        <v>0</v>
      </c>
      <c r="S71" s="51">
        <f t="shared" si="49"/>
        <v>0</v>
      </c>
      <c r="T71" s="51">
        <f t="shared" si="49"/>
        <v>0</v>
      </c>
      <c r="U71" s="51">
        <f t="shared" si="49"/>
        <v>0</v>
      </c>
      <c r="V71" s="51">
        <f t="shared" si="49"/>
        <v>0</v>
      </c>
      <c r="W71" s="51">
        <f t="shared" si="49"/>
        <v>0</v>
      </c>
      <c r="X71" s="51">
        <f t="shared" si="49"/>
        <v>0</v>
      </c>
      <c r="Y71" s="51">
        <f t="shared" si="49"/>
        <v>0</v>
      </c>
      <c r="Z71" s="51">
        <f t="shared" si="49"/>
        <v>0</v>
      </c>
      <c r="AA71" s="278">
        <f t="shared" si="49"/>
        <v>0</v>
      </c>
      <c r="AB71" s="51">
        <f t="shared" si="49"/>
        <v>0</v>
      </c>
      <c r="AC71" s="51">
        <f t="shared" si="49"/>
        <v>0</v>
      </c>
      <c r="AD71" s="51">
        <f t="shared" si="49"/>
        <v>0</v>
      </c>
      <c r="AE71" s="51">
        <f t="shared" si="49"/>
        <v>0</v>
      </c>
      <c r="AF71" s="51">
        <f t="shared" si="49"/>
        <v>0</v>
      </c>
      <c r="AG71" s="51">
        <f t="shared" si="49"/>
        <v>0</v>
      </c>
      <c r="AH71" s="51">
        <f t="shared" si="49"/>
        <v>0</v>
      </c>
      <c r="AI71" s="51">
        <f t="shared" si="49"/>
        <v>0</v>
      </c>
      <c r="AJ71" s="51">
        <f t="shared" si="49"/>
        <v>0</v>
      </c>
      <c r="AK71" s="51">
        <f t="shared" si="49"/>
        <v>0</v>
      </c>
      <c r="AL71" s="51">
        <f t="shared" si="49"/>
        <v>0</v>
      </c>
      <c r="AM71" s="51">
        <f t="shared" si="49"/>
        <v>0</v>
      </c>
      <c r="AN71" s="294"/>
      <c r="AO71" s="9"/>
      <c r="AP71" s="9"/>
      <c r="AQ71" s="9"/>
      <c r="AR71" s="9"/>
      <c r="AS71" s="9"/>
      <c r="AT71" s="9"/>
      <c r="AU71" s="9"/>
      <c r="AV71" s="9"/>
      <c r="AW71" s="9"/>
      <c r="AX71" s="9"/>
    </row>
    <row r="72" spans="1:50" ht="15.75" customHeight="1" outlineLevel="1" x14ac:dyDescent="0.2">
      <c r="A72" s="16"/>
      <c r="B72" s="46" t="s">
        <v>246</v>
      </c>
      <c r="C72" s="295">
        <v>12.7</v>
      </c>
      <c r="D72" s="296">
        <f t="shared" ref="D72:AM72" si="50">-$C72*D24</f>
        <v>-18897.599999999999</v>
      </c>
      <c r="E72" s="296">
        <f t="shared" si="50"/>
        <v>-22618.699999999997</v>
      </c>
      <c r="F72" s="296">
        <f t="shared" si="50"/>
        <v>-38950.9</v>
      </c>
      <c r="G72" s="158">
        <f t="shared" si="50"/>
        <v>-23863.3</v>
      </c>
      <c r="H72" s="158">
        <f t="shared" si="50"/>
        <v>-23863.3</v>
      </c>
      <c r="I72" s="158">
        <f t="shared" si="50"/>
        <v>-23863.3</v>
      </c>
      <c r="J72" s="158">
        <f t="shared" si="50"/>
        <v>-23863.3</v>
      </c>
      <c r="K72" s="158">
        <f t="shared" si="50"/>
        <v>-23863.3</v>
      </c>
      <c r="L72" s="158">
        <f t="shared" si="50"/>
        <v>-23863.3</v>
      </c>
      <c r="M72" s="158">
        <f t="shared" si="50"/>
        <v>-23863.3</v>
      </c>
      <c r="N72" s="158">
        <f t="shared" si="50"/>
        <v>-23723.599999999999</v>
      </c>
      <c r="O72" s="287">
        <f t="shared" si="50"/>
        <v>-25019</v>
      </c>
      <c r="P72" s="158">
        <f t="shared" si="50"/>
        <v>-23329.899999999998</v>
      </c>
      <c r="Q72" s="158">
        <f t="shared" si="50"/>
        <v>-25158.699999999997</v>
      </c>
      <c r="R72" s="158">
        <f t="shared" si="50"/>
        <v>-32308.799999999999</v>
      </c>
      <c r="S72" s="158">
        <f t="shared" si="50"/>
        <v>-23863.3</v>
      </c>
      <c r="T72" s="158">
        <f t="shared" si="50"/>
        <v>-23863.3</v>
      </c>
      <c r="U72" s="158">
        <f t="shared" si="50"/>
        <v>-23863.3</v>
      </c>
      <c r="V72" s="158">
        <f t="shared" si="50"/>
        <v>-23863.3</v>
      </c>
      <c r="W72" s="158">
        <f t="shared" si="50"/>
        <v>-23863.3</v>
      </c>
      <c r="X72" s="158">
        <f t="shared" si="50"/>
        <v>-23863.3</v>
      </c>
      <c r="Y72" s="158">
        <f t="shared" si="50"/>
        <v>-23863.3</v>
      </c>
      <c r="Z72" s="158">
        <f t="shared" si="50"/>
        <v>-23723.599999999999</v>
      </c>
      <c r="AA72" s="287">
        <f t="shared" si="50"/>
        <v>-25019</v>
      </c>
      <c r="AB72" s="158">
        <f t="shared" si="50"/>
        <v>-23329.899999999998</v>
      </c>
      <c r="AC72" s="158">
        <f t="shared" si="50"/>
        <v>-25158.699999999997</v>
      </c>
      <c r="AD72" s="158">
        <f t="shared" si="50"/>
        <v>-32308.799999999999</v>
      </c>
      <c r="AE72" s="158">
        <f t="shared" si="50"/>
        <v>-23863.3</v>
      </c>
      <c r="AF72" s="158">
        <f t="shared" si="50"/>
        <v>-23863.3</v>
      </c>
      <c r="AG72" s="158">
        <f t="shared" si="50"/>
        <v>-23863.3</v>
      </c>
      <c r="AH72" s="158">
        <f t="shared" si="50"/>
        <v>-23863.3</v>
      </c>
      <c r="AI72" s="158">
        <f t="shared" si="50"/>
        <v>-23863.3</v>
      </c>
      <c r="AJ72" s="158">
        <f t="shared" si="50"/>
        <v>-23863.3</v>
      </c>
      <c r="AK72" s="158">
        <f t="shared" si="50"/>
        <v>-23863.3</v>
      </c>
      <c r="AL72" s="158">
        <f t="shared" si="50"/>
        <v>-23723.599999999999</v>
      </c>
      <c r="AM72" s="158">
        <f t="shared" si="50"/>
        <v>-25019</v>
      </c>
      <c r="AN72" s="294"/>
      <c r="AO72" s="9"/>
      <c r="AP72" s="9"/>
      <c r="AQ72" s="9"/>
      <c r="AR72" s="9"/>
      <c r="AS72" s="9"/>
      <c r="AT72" s="9"/>
      <c r="AU72" s="9"/>
      <c r="AV72" s="9"/>
      <c r="AW72" s="9"/>
      <c r="AX72" s="9"/>
    </row>
    <row r="73" spans="1:50" ht="15.75" customHeight="1" outlineLevel="1" x14ac:dyDescent="0.2">
      <c r="A73" s="48"/>
      <c r="B73" s="46" t="s">
        <v>247</v>
      </c>
      <c r="C73" s="50">
        <v>12.7</v>
      </c>
      <c r="D73" s="279">
        <f t="shared" ref="D73:AM73" si="51">-$C73*D24</f>
        <v>-18897.599999999999</v>
      </c>
      <c r="E73" s="279">
        <f t="shared" si="51"/>
        <v>-22618.699999999997</v>
      </c>
      <c r="F73" s="279">
        <f t="shared" si="51"/>
        <v>-38950.9</v>
      </c>
      <c r="G73" s="51">
        <f t="shared" si="51"/>
        <v>-23863.3</v>
      </c>
      <c r="H73" s="51">
        <f t="shared" si="51"/>
        <v>-23863.3</v>
      </c>
      <c r="I73" s="51">
        <f t="shared" si="51"/>
        <v>-23863.3</v>
      </c>
      <c r="J73" s="51">
        <f t="shared" si="51"/>
        <v>-23863.3</v>
      </c>
      <c r="K73" s="51">
        <f t="shared" si="51"/>
        <v>-23863.3</v>
      </c>
      <c r="L73" s="51">
        <f t="shared" si="51"/>
        <v>-23863.3</v>
      </c>
      <c r="M73" s="51">
        <f t="shared" si="51"/>
        <v>-23863.3</v>
      </c>
      <c r="N73" s="51">
        <f t="shared" si="51"/>
        <v>-23723.599999999999</v>
      </c>
      <c r="O73" s="278">
        <f t="shared" si="51"/>
        <v>-25019</v>
      </c>
      <c r="P73" s="51">
        <f t="shared" si="51"/>
        <v>-23329.899999999998</v>
      </c>
      <c r="Q73" s="51">
        <f t="shared" si="51"/>
        <v>-25158.699999999997</v>
      </c>
      <c r="R73" s="51">
        <f t="shared" si="51"/>
        <v>-32308.799999999999</v>
      </c>
      <c r="S73" s="51">
        <f t="shared" si="51"/>
        <v>-23863.3</v>
      </c>
      <c r="T73" s="51">
        <f t="shared" si="51"/>
        <v>-23863.3</v>
      </c>
      <c r="U73" s="51">
        <f t="shared" si="51"/>
        <v>-23863.3</v>
      </c>
      <c r="V73" s="51">
        <f t="shared" si="51"/>
        <v>-23863.3</v>
      </c>
      <c r="W73" s="51">
        <f t="shared" si="51"/>
        <v>-23863.3</v>
      </c>
      <c r="X73" s="51">
        <f t="shared" si="51"/>
        <v>-23863.3</v>
      </c>
      <c r="Y73" s="51">
        <f t="shared" si="51"/>
        <v>-23863.3</v>
      </c>
      <c r="Z73" s="51">
        <f t="shared" si="51"/>
        <v>-23723.599999999999</v>
      </c>
      <c r="AA73" s="278">
        <f t="shared" si="51"/>
        <v>-25019</v>
      </c>
      <c r="AB73" s="51">
        <f t="shared" si="51"/>
        <v>-23329.899999999998</v>
      </c>
      <c r="AC73" s="51">
        <f t="shared" si="51"/>
        <v>-25158.699999999997</v>
      </c>
      <c r="AD73" s="51">
        <f t="shared" si="51"/>
        <v>-32308.799999999999</v>
      </c>
      <c r="AE73" s="51">
        <f t="shared" si="51"/>
        <v>-23863.3</v>
      </c>
      <c r="AF73" s="51">
        <f t="shared" si="51"/>
        <v>-23863.3</v>
      </c>
      <c r="AG73" s="51">
        <f t="shared" si="51"/>
        <v>-23863.3</v>
      </c>
      <c r="AH73" s="51">
        <f t="shared" si="51"/>
        <v>-23863.3</v>
      </c>
      <c r="AI73" s="51">
        <f t="shared" si="51"/>
        <v>-23863.3</v>
      </c>
      <c r="AJ73" s="51">
        <f t="shared" si="51"/>
        <v>-23863.3</v>
      </c>
      <c r="AK73" s="51">
        <f t="shared" si="51"/>
        <v>-23863.3</v>
      </c>
      <c r="AL73" s="51">
        <f t="shared" si="51"/>
        <v>-23723.599999999999</v>
      </c>
      <c r="AM73" s="51">
        <f t="shared" si="51"/>
        <v>-25019</v>
      </c>
      <c r="AN73" s="294"/>
      <c r="AO73" s="9"/>
      <c r="AP73" s="9"/>
      <c r="AQ73" s="9"/>
      <c r="AR73" s="9"/>
      <c r="AS73" s="9"/>
      <c r="AT73" s="9"/>
      <c r="AU73" s="9"/>
      <c r="AV73" s="9"/>
      <c r="AW73" s="9"/>
      <c r="AX73" s="9"/>
    </row>
    <row r="74" spans="1:50" ht="16.5" customHeight="1" x14ac:dyDescent="0.2">
      <c r="A74" s="48"/>
      <c r="B74" s="78" t="s">
        <v>248</v>
      </c>
      <c r="C74" s="79"/>
      <c r="D74" s="80">
        <f t="shared" ref="D74:AM74" si="52">SUM(D75:D80)</f>
        <v>-601766.28960000002</v>
      </c>
      <c r="E74" s="80">
        <f t="shared" si="52"/>
        <v>-245295.5024</v>
      </c>
      <c r="F74" s="80">
        <f t="shared" si="52"/>
        <v>-785301.0175999999</v>
      </c>
      <c r="G74" s="80">
        <f t="shared" si="52"/>
        <v>-608921.53599999996</v>
      </c>
      <c r="H74" s="80">
        <f t="shared" si="52"/>
        <v>-608921.53599999996</v>
      </c>
      <c r="I74" s="80">
        <f t="shared" si="52"/>
        <v>-608921.53599999996</v>
      </c>
      <c r="J74" s="80">
        <f t="shared" si="52"/>
        <v>-608921.53599999996</v>
      </c>
      <c r="K74" s="80">
        <f t="shared" si="52"/>
        <v>-608921.53599999996</v>
      </c>
      <c r="L74" s="80">
        <f t="shared" si="52"/>
        <v>-608921.53599999996</v>
      </c>
      <c r="M74" s="80">
        <f t="shared" si="52"/>
        <v>-608921.53599999996</v>
      </c>
      <c r="N74" s="80">
        <f t="shared" si="52"/>
        <v>-648988.67200000002</v>
      </c>
      <c r="O74" s="292">
        <f t="shared" si="52"/>
        <v>-1399629.152</v>
      </c>
      <c r="P74" s="80">
        <f t="shared" si="52"/>
        <v>-694002.36800000002</v>
      </c>
      <c r="Q74" s="80">
        <f t="shared" si="52"/>
        <v>-320289.76</v>
      </c>
      <c r="R74" s="80">
        <f t="shared" si="52"/>
        <v>-812225.152</v>
      </c>
      <c r="S74" s="80">
        <f t="shared" si="52"/>
        <v>-608921.53599999996</v>
      </c>
      <c r="T74" s="80">
        <f t="shared" si="52"/>
        <v>-608921.53599999996</v>
      </c>
      <c r="U74" s="80">
        <f t="shared" si="52"/>
        <v>-608921.53599999996</v>
      </c>
      <c r="V74" s="80">
        <f t="shared" si="52"/>
        <v>-608921.53599999996</v>
      </c>
      <c r="W74" s="80">
        <f t="shared" si="52"/>
        <v>-608921.53599999996</v>
      </c>
      <c r="X74" s="80">
        <f t="shared" si="52"/>
        <v>-608921.53599999996</v>
      </c>
      <c r="Y74" s="80">
        <f t="shared" si="52"/>
        <v>-608921.53599999996</v>
      </c>
      <c r="Z74" s="80">
        <f t="shared" si="52"/>
        <v>-648988.67200000002</v>
      </c>
      <c r="AA74" s="292">
        <f t="shared" si="52"/>
        <v>-1399629.152</v>
      </c>
      <c r="AB74" s="80">
        <f t="shared" si="52"/>
        <v>-694002.36800000002</v>
      </c>
      <c r="AC74" s="80">
        <f t="shared" si="52"/>
        <v>-320289.76</v>
      </c>
      <c r="AD74" s="80">
        <f t="shared" si="52"/>
        <v>-812225.152</v>
      </c>
      <c r="AE74" s="80">
        <f t="shared" si="52"/>
        <v>-608921.53599999996</v>
      </c>
      <c r="AF74" s="80">
        <f t="shared" si="52"/>
        <v>-608921.53599999996</v>
      </c>
      <c r="AG74" s="80">
        <f t="shared" si="52"/>
        <v>-608921.53599999996</v>
      </c>
      <c r="AH74" s="80">
        <f t="shared" si="52"/>
        <v>-608921.53599999996</v>
      </c>
      <c r="AI74" s="80">
        <f t="shared" si="52"/>
        <v>-608921.53599999996</v>
      </c>
      <c r="AJ74" s="80">
        <f t="shared" si="52"/>
        <v>-608921.53599999996</v>
      </c>
      <c r="AK74" s="80">
        <f t="shared" si="52"/>
        <v>-608921.53599999996</v>
      </c>
      <c r="AL74" s="80">
        <f t="shared" si="52"/>
        <v>-648988.67200000002</v>
      </c>
      <c r="AM74" s="80">
        <f t="shared" si="52"/>
        <v>-1399629.152</v>
      </c>
      <c r="AN74" s="297">
        <f>SUM(D74:O74)</f>
        <v>-7943431.3855999997</v>
      </c>
      <c r="AO74" s="9"/>
      <c r="AP74" s="9"/>
      <c r="AQ74" s="9"/>
      <c r="AR74" s="9"/>
      <c r="AS74" s="9"/>
      <c r="AT74" s="9"/>
      <c r="AU74" s="9"/>
      <c r="AV74" s="9"/>
      <c r="AW74" s="9"/>
      <c r="AX74" s="9"/>
    </row>
    <row r="75" spans="1:50" ht="16.5" customHeight="1" outlineLevel="1" x14ac:dyDescent="0.2">
      <c r="A75" s="48"/>
      <c r="B75" s="81" t="s">
        <v>243</v>
      </c>
      <c r="C75" s="55">
        <v>0.2072</v>
      </c>
      <c r="D75" s="279">
        <f t="shared" ref="D75:AM75" si="53">-$C75*D28</f>
        <v>-247618.08960000001</v>
      </c>
      <c r="E75" s="279">
        <f t="shared" si="53"/>
        <v>-101536.70239999999</v>
      </c>
      <c r="F75" s="279">
        <f t="shared" si="53"/>
        <v>-314075.41759999999</v>
      </c>
      <c r="G75" s="51">
        <f t="shared" si="53"/>
        <v>-249961.93599999999</v>
      </c>
      <c r="H75" s="51">
        <f t="shared" si="53"/>
        <v>-249961.93599999999</v>
      </c>
      <c r="I75" s="51">
        <f t="shared" si="53"/>
        <v>-249961.93599999999</v>
      </c>
      <c r="J75" s="51">
        <f t="shared" si="53"/>
        <v>-249961.93599999999</v>
      </c>
      <c r="K75" s="51">
        <f t="shared" si="53"/>
        <v>-249961.93599999999</v>
      </c>
      <c r="L75" s="51">
        <f t="shared" si="53"/>
        <v>-249961.93599999999</v>
      </c>
      <c r="M75" s="51">
        <f t="shared" si="53"/>
        <v>-249961.93599999999</v>
      </c>
      <c r="N75" s="51">
        <f t="shared" si="53"/>
        <v>-266409.47200000001</v>
      </c>
      <c r="O75" s="278">
        <f t="shared" si="53"/>
        <v>-574546.95199999993</v>
      </c>
      <c r="P75" s="51">
        <f t="shared" si="53"/>
        <v>-284887.56799999997</v>
      </c>
      <c r="Q75" s="51">
        <f t="shared" si="53"/>
        <v>-131478.76</v>
      </c>
      <c r="R75" s="51">
        <f t="shared" si="53"/>
        <v>-333417.95199999999</v>
      </c>
      <c r="S75" s="51">
        <f t="shared" si="53"/>
        <v>-249961.93599999999</v>
      </c>
      <c r="T75" s="51">
        <f t="shared" si="53"/>
        <v>-249961.93599999999</v>
      </c>
      <c r="U75" s="51">
        <f t="shared" si="53"/>
        <v>-249961.93599999999</v>
      </c>
      <c r="V75" s="51">
        <f t="shared" si="53"/>
        <v>-249961.93599999999</v>
      </c>
      <c r="W75" s="51">
        <f t="shared" si="53"/>
        <v>-249961.93599999999</v>
      </c>
      <c r="X75" s="51">
        <f t="shared" si="53"/>
        <v>-249961.93599999999</v>
      </c>
      <c r="Y75" s="51">
        <f t="shared" si="53"/>
        <v>-249961.93599999999</v>
      </c>
      <c r="Z75" s="51">
        <f t="shared" si="53"/>
        <v>-266409.47200000001</v>
      </c>
      <c r="AA75" s="278">
        <f t="shared" si="53"/>
        <v>-574546.95199999993</v>
      </c>
      <c r="AB75" s="51">
        <f t="shared" si="53"/>
        <v>-284887.56799999997</v>
      </c>
      <c r="AC75" s="51">
        <f t="shared" si="53"/>
        <v>-131478.76</v>
      </c>
      <c r="AD75" s="51">
        <f t="shared" si="53"/>
        <v>-333417.95199999999</v>
      </c>
      <c r="AE75" s="51">
        <f t="shared" si="53"/>
        <v>-249961.93599999999</v>
      </c>
      <c r="AF75" s="51">
        <f t="shared" si="53"/>
        <v>-249961.93599999999</v>
      </c>
      <c r="AG75" s="51">
        <f t="shared" si="53"/>
        <v>-249961.93599999999</v>
      </c>
      <c r="AH75" s="51">
        <f t="shared" si="53"/>
        <v>-249961.93599999999</v>
      </c>
      <c r="AI75" s="51">
        <f t="shared" si="53"/>
        <v>-249961.93599999999</v>
      </c>
      <c r="AJ75" s="51">
        <f t="shared" si="53"/>
        <v>-249961.93599999999</v>
      </c>
      <c r="AK75" s="51">
        <f t="shared" si="53"/>
        <v>-249961.93599999999</v>
      </c>
      <c r="AL75" s="51">
        <f t="shared" si="53"/>
        <v>-266409.47200000001</v>
      </c>
      <c r="AM75" s="51">
        <f t="shared" si="53"/>
        <v>-574546.95199999993</v>
      </c>
      <c r="AN75" s="294"/>
      <c r="AO75" s="9"/>
      <c r="AP75" s="9"/>
      <c r="AQ75" s="9"/>
      <c r="AR75" s="9"/>
      <c r="AS75" s="9"/>
      <c r="AT75" s="9"/>
      <c r="AU75" s="9"/>
      <c r="AV75" s="9"/>
      <c r="AW75" s="9"/>
      <c r="AX75" s="9"/>
    </row>
    <row r="76" spans="1:50" ht="16.5" customHeight="1" outlineLevel="1" x14ac:dyDescent="0.2">
      <c r="A76" s="48"/>
      <c r="B76" s="46" t="s">
        <v>249</v>
      </c>
      <c r="C76" s="50">
        <v>63</v>
      </c>
      <c r="D76" s="279">
        <f t="shared" ref="D76:AM76" si="54">-$C76*D36</f>
        <v>-153027</v>
      </c>
      <c r="E76" s="279">
        <f t="shared" si="54"/>
        <v>-62118</v>
      </c>
      <c r="F76" s="279">
        <f t="shared" si="54"/>
        <v>-203616</v>
      </c>
      <c r="G76" s="51">
        <f t="shared" si="54"/>
        <v>-155106</v>
      </c>
      <c r="H76" s="51">
        <f t="shared" si="54"/>
        <v>-155106</v>
      </c>
      <c r="I76" s="51">
        <f t="shared" si="54"/>
        <v>-155106</v>
      </c>
      <c r="J76" s="51">
        <f t="shared" si="54"/>
        <v>-155106</v>
      </c>
      <c r="K76" s="51">
        <f t="shared" si="54"/>
        <v>-155106</v>
      </c>
      <c r="L76" s="51">
        <f t="shared" si="54"/>
        <v>-155106</v>
      </c>
      <c r="M76" s="51">
        <f t="shared" si="54"/>
        <v>-155106</v>
      </c>
      <c r="N76" s="51">
        <f t="shared" si="54"/>
        <v>-165312</v>
      </c>
      <c r="O76" s="278">
        <f t="shared" si="54"/>
        <v>-356517</v>
      </c>
      <c r="P76" s="51">
        <f t="shared" si="54"/>
        <v>-176778</v>
      </c>
      <c r="Q76" s="51">
        <f t="shared" si="54"/>
        <v>-81585</v>
      </c>
      <c r="R76" s="51">
        <f t="shared" si="54"/>
        <v>-206892</v>
      </c>
      <c r="S76" s="51">
        <f t="shared" si="54"/>
        <v>-155106</v>
      </c>
      <c r="T76" s="51">
        <f t="shared" si="54"/>
        <v>-155106</v>
      </c>
      <c r="U76" s="51">
        <f t="shared" si="54"/>
        <v>-155106</v>
      </c>
      <c r="V76" s="51">
        <f t="shared" si="54"/>
        <v>-155106</v>
      </c>
      <c r="W76" s="51">
        <f t="shared" si="54"/>
        <v>-155106</v>
      </c>
      <c r="X76" s="51">
        <f t="shared" si="54"/>
        <v>-155106</v>
      </c>
      <c r="Y76" s="51">
        <f t="shared" si="54"/>
        <v>-155106</v>
      </c>
      <c r="Z76" s="51">
        <f t="shared" si="54"/>
        <v>-165312</v>
      </c>
      <c r="AA76" s="278">
        <f t="shared" si="54"/>
        <v>-356517</v>
      </c>
      <c r="AB76" s="51">
        <f t="shared" si="54"/>
        <v>-176778</v>
      </c>
      <c r="AC76" s="51">
        <f t="shared" si="54"/>
        <v>-81585</v>
      </c>
      <c r="AD76" s="51">
        <f t="shared" si="54"/>
        <v>-206892</v>
      </c>
      <c r="AE76" s="51">
        <f t="shared" si="54"/>
        <v>-155106</v>
      </c>
      <c r="AF76" s="51">
        <f t="shared" si="54"/>
        <v>-155106</v>
      </c>
      <c r="AG76" s="51">
        <f t="shared" si="54"/>
        <v>-155106</v>
      </c>
      <c r="AH76" s="51">
        <f t="shared" si="54"/>
        <v>-155106</v>
      </c>
      <c r="AI76" s="51">
        <f t="shared" si="54"/>
        <v>-155106</v>
      </c>
      <c r="AJ76" s="51">
        <f t="shared" si="54"/>
        <v>-155106</v>
      </c>
      <c r="AK76" s="51">
        <f t="shared" si="54"/>
        <v>-155106</v>
      </c>
      <c r="AL76" s="51">
        <f t="shared" si="54"/>
        <v>-165312</v>
      </c>
      <c r="AM76" s="51">
        <f t="shared" si="54"/>
        <v>-356517</v>
      </c>
      <c r="AN76" s="294"/>
      <c r="AO76" s="9"/>
      <c r="AP76" s="9"/>
      <c r="AQ76" s="9"/>
      <c r="AR76" s="9"/>
      <c r="AS76" s="9"/>
      <c r="AT76" s="9"/>
      <c r="AU76" s="9"/>
      <c r="AV76" s="9"/>
      <c r="AW76" s="9"/>
      <c r="AX76" s="9"/>
    </row>
    <row r="77" spans="1:50" ht="16.5" customHeight="1" outlineLevel="1" x14ac:dyDescent="0.2">
      <c r="A77" s="48"/>
      <c r="B77" s="46" t="s">
        <v>244</v>
      </c>
      <c r="C77" s="50">
        <v>75.8</v>
      </c>
      <c r="D77" s="279">
        <f t="shared" ref="D77:AM77" si="55">-D36*$C77</f>
        <v>-184118.19999999998</v>
      </c>
      <c r="E77" s="279">
        <f t="shared" si="55"/>
        <v>-74738.8</v>
      </c>
      <c r="F77" s="279">
        <f t="shared" si="55"/>
        <v>-244985.59999999998</v>
      </c>
      <c r="G77" s="51">
        <f t="shared" si="55"/>
        <v>-186619.6</v>
      </c>
      <c r="H77" s="51">
        <f t="shared" si="55"/>
        <v>-186619.6</v>
      </c>
      <c r="I77" s="51">
        <f t="shared" si="55"/>
        <v>-186619.6</v>
      </c>
      <c r="J77" s="51">
        <f t="shared" si="55"/>
        <v>-186619.6</v>
      </c>
      <c r="K77" s="51">
        <f t="shared" si="55"/>
        <v>-186619.6</v>
      </c>
      <c r="L77" s="51">
        <f t="shared" si="55"/>
        <v>-186619.6</v>
      </c>
      <c r="M77" s="51">
        <f t="shared" si="55"/>
        <v>-186619.6</v>
      </c>
      <c r="N77" s="51">
        <f t="shared" si="55"/>
        <v>-198899.19999999998</v>
      </c>
      <c r="O77" s="278">
        <f t="shared" si="55"/>
        <v>-428952.2</v>
      </c>
      <c r="P77" s="51">
        <f t="shared" si="55"/>
        <v>-212694.8</v>
      </c>
      <c r="Q77" s="51">
        <f t="shared" si="55"/>
        <v>-98161</v>
      </c>
      <c r="R77" s="51">
        <f t="shared" si="55"/>
        <v>-248927.19999999998</v>
      </c>
      <c r="S77" s="51">
        <f t="shared" si="55"/>
        <v>-186619.6</v>
      </c>
      <c r="T77" s="51">
        <f t="shared" si="55"/>
        <v>-186619.6</v>
      </c>
      <c r="U77" s="51">
        <f t="shared" si="55"/>
        <v>-186619.6</v>
      </c>
      <c r="V77" s="51">
        <f t="shared" si="55"/>
        <v>-186619.6</v>
      </c>
      <c r="W77" s="51">
        <f t="shared" si="55"/>
        <v>-186619.6</v>
      </c>
      <c r="X77" s="51">
        <f t="shared" si="55"/>
        <v>-186619.6</v>
      </c>
      <c r="Y77" s="51">
        <f t="shared" si="55"/>
        <v>-186619.6</v>
      </c>
      <c r="Z77" s="51">
        <f t="shared" si="55"/>
        <v>-198899.19999999998</v>
      </c>
      <c r="AA77" s="278">
        <f t="shared" si="55"/>
        <v>-428952.2</v>
      </c>
      <c r="AB77" s="51">
        <f t="shared" si="55"/>
        <v>-212694.8</v>
      </c>
      <c r="AC77" s="51">
        <f t="shared" si="55"/>
        <v>-98161</v>
      </c>
      <c r="AD77" s="51">
        <f t="shared" si="55"/>
        <v>-248927.19999999998</v>
      </c>
      <c r="AE77" s="51">
        <f t="shared" si="55"/>
        <v>-186619.6</v>
      </c>
      <c r="AF77" s="51">
        <f t="shared" si="55"/>
        <v>-186619.6</v>
      </c>
      <c r="AG77" s="51">
        <f t="shared" si="55"/>
        <v>-186619.6</v>
      </c>
      <c r="AH77" s="51">
        <f t="shared" si="55"/>
        <v>-186619.6</v>
      </c>
      <c r="AI77" s="51">
        <f t="shared" si="55"/>
        <v>-186619.6</v>
      </c>
      <c r="AJ77" s="51">
        <f t="shared" si="55"/>
        <v>-186619.6</v>
      </c>
      <c r="AK77" s="51">
        <f t="shared" si="55"/>
        <v>-186619.6</v>
      </c>
      <c r="AL77" s="51">
        <f t="shared" si="55"/>
        <v>-198899.19999999998</v>
      </c>
      <c r="AM77" s="51">
        <f t="shared" si="55"/>
        <v>-428952.2</v>
      </c>
      <c r="AN77" s="294"/>
      <c r="AO77" s="9"/>
      <c r="AP77" s="9"/>
      <c r="AQ77" s="9"/>
      <c r="AR77" s="9"/>
      <c r="AS77" s="9"/>
      <c r="AT77" s="9"/>
      <c r="AU77" s="9"/>
      <c r="AV77" s="9"/>
      <c r="AW77" s="9"/>
      <c r="AX77" s="9"/>
    </row>
    <row r="78" spans="1:50" ht="16.5" customHeight="1" outlineLevel="1" x14ac:dyDescent="0.2">
      <c r="A78" s="48"/>
      <c r="B78" s="83" t="s">
        <v>245</v>
      </c>
      <c r="C78" s="55">
        <v>0</v>
      </c>
      <c r="D78" s="279">
        <f t="shared" ref="D78:AM78" si="56">-$C78*D28</f>
        <v>0</v>
      </c>
      <c r="E78" s="279">
        <f t="shared" si="56"/>
        <v>0</v>
      </c>
      <c r="F78" s="279">
        <f t="shared" si="56"/>
        <v>0</v>
      </c>
      <c r="G78" s="51">
        <f t="shared" si="56"/>
        <v>0</v>
      </c>
      <c r="H78" s="51">
        <f t="shared" si="56"/>
        <v>0</v>
      </c>
      <c r="I78" s="51">
        <f t="shared" si="56"/>
        <v>0</v>
      </c>
      <c r="J78" s="51">
        <f t="shared" si="56"/>
        <v>0</v>
      </c>
      <c r="K78" s="51">
        <f t="shared" si="56"/>
        <v>0</v>
      </c>
      <c r="L78" s="51">
        <f t="shared" si="56"/>
        <v>0</v>
      </c>
      <c r="M78" s="51">
        <f t="shared" si="56"/>
        <v>0</v>
      </c>
      <c r="N78" s="51">
        <f t="shared" si="56"/>
        <v>0</v>
      </c>
      <c r="O78" s="278">
        <f t="shared" si="56"/>
        <v>0</v>
      </c>
      <c r="P78" s="51">
        <f t="shared" si="56"/>
        <v>0</v>
      </c>
      <c r="Q78" s="51">
        <f t="shared" si="56"/>
        <v>0</v>
      </c>
      <c r="R78" s="51">
        <f t="shared" si="56"/>
        <v>0</v>
      </c>
      <c r="S78" s="51">
        <f t="shared" si="56"/>
        <v>0</v>
      </c>
      <c r="T78" s="51">
        <f t="shared" si="56"/>
        <v>0</v>
      </c>
      <c r="U78" s="51">
        <f t="shared" si="56"/>
        <v>0</v>
      </c>
      <c r="V78" s="51">
        <f t="shared" si="56"/>
        <v>0</v>
      </c>
      <c r="W78" s="51">
        <f t="shared" si="56"/>
        <v>0</v>
      </c>
      <c r="X78" s="51">
        <f t="shared" si="56"/>
        <v>0</v>
      </c>
      <c r="Y78" s="51">
        <f t="shared" si="56"/>
        <v>0</v>
      </c>
      <c r="Z78" s="51">
        <f t="shared" si="56"/>
        <v>0</v>
      </c>
      <c r="AA78" s="278">
        <f t="shared" si="56"/>
        <v>0</v>
      </c>
      <c r="AB78" s="51">
        <f t="shared" si="56"/>
        <v>0</v>
      </c>
      <c r="AC78" s="51">
        <f t="shared" si="56"/>
        <v>0</v>
      </c>
      <c r="AD78" s="51">
        <f t="shared" si="56"/>
        <v>0</v>
      </c>
      <c r="AE78" s="51">
        <f t="shared" si="56"/>
        <v>0</v>
      </c>
      <c r="AF78" s="51">
        <f t="shared" si="56"/>
        <v>0</v>
      </c>
      <c r="AG78" s="51">
        <f t="shared" si="56"/>
        <v>0</v>
      </c>
      <c r="AH78" s="51">
        <f t="shared" si="56"/>
        <v>0</v>
      </c>
      <c r="AI78" s="51">
        <f t="shared" si="56"/>
        <v>0</v>
      </c>
      <c r="AJ78" s="51">
        <f t="shared" si="56"/>
        <v>0</v>
      </c>
      <c r="AK78" s="51">
        <f t="shared" si="56"/>
        <v>0</v>
      </c>
      <c r="AL78" s="51">
        <f t="shared" si="56"/>
        <v>0</v>
      </c>
      <c r="AM78" s="51">
        <f t="shared" si="56"/>
        <v>0</v>
      </c>
      <c r="AN78" s="294"/>
      <c r="AO78" s="9"/>
      <c r="AP78" s="9"/>
      <c r="AQ78" s="9"/>
      <c r="AR78" s="9"/>
      <c r="AS78" s="9"/>
      <c r="AT78" s="9"/>
      <c r="AU78" s="9"/>
      <c r="AV78" s="9"/>
      <c r="AW78" s="9"/>
      <c r="AX78" s="9"/>
    </row>
    <row r="79" spans="1:50" ht="16.5" customHeight="1" outlineLevel="1" x14ac:dyDescent="0.2">
      <c r="A79" s="48"/>
      <c r="B79" s="46" t="s">
        <v>246</v>
      </c>
      <c r="C79" s="82">
        <v>2</v>
      </c>
      <c r="D79" s="296">
        <f t="shared" ref="D79:AM79" si="57">-$C79*D36</f>
        <v>-4858</v>
      </c>
      <c r="E79" s="296">
        <f t="shared" si="57"/>
        <v>-1972</v>
      </c>
      <c r="F79" s="296">
        <f t="shared" si="57"/>
        <v>-6464</v>
      </c>
      <c r="G79" s="158">
        <f t="shared" si="57"/>
        <v>-4924</v>
      </c>
      <c r="H79" s="158">
        <f t="shared" si="57"/>
        <v>-4924</v>
      </c>
      <c r="I79" s="158">
        <f t="shared" si="57"/>
        <v>-4924</v>
      </c>
      <c r="J79" s="158">
        <f t="shared" si="57"/>
        <v>-4924</v>
      </c>
      <c r="K79" s="158">
        <f t="shared" si="57"/>
        <v>-4924</v>
      </c>
      <c r="L79" s="158">
        <f t="shared" si="57"/>
        <v>-4924</v>
      </c>
      <c r="M79" s="158">
        <f t="shared" si="57"/>
        <v>-4924</v>
      </c>
      <c r="N79" s="158">
        <f t="shared" si="57"/>
        <v>-5248</v>
      </c>
      <c r="O79" s="287">
        <f t="shared" si="57"/>
        <v>-11318</v>
      </c>
      <c r="P79" s="158">
        <f t="shared" si="57"/>
        <v>-5612</v>
      </c>
      <c r="Q79" s="158">
        <f t="shared" si="57"/>
        <v>-2590</v>
      </c>
      <c r="R79" s="158">
        <f t="shared" si="57"/>
        <v>-6568</v>
      </c>
      <c r="S79" s="158">
        <f t="shared" si="57"/>
        <v>-4924</v>
      </c>
      <c r="T79" s="158">
        <f t="shared" si="57"/>
        <v>-4924</v>
      </c>
      <c r="U79" s="158">
        <f t="shared" si="57"/>
        <v>-4924</v>
      </c>
      <c r="V79" s="158">
        <f t="shared" si="57"/>
        <v>-4924</v>
      </c>
      <c r="W79" s="158">
        <f t="shared" si="57"/>
        <v>-4924</v>
      </c>
      <c r="X79" s="158">
        <f t="shared" si="57"/>
        <v>-4924</v>
      </c>
      <c r="Y79" s="158">
        <f t="shared" si="57"/>
        <v>-4924</v>
      </c>
      <c r="Z79" s="158">
        <f t="shared" si="57"/>
        <v>-5248</v>
      </c>
      <c r="AA79" s="287">
        <f t="shared" si="57"/>
        <v>-11318</v>
      </c>
      <c r="AB79" s="158">
        <f t="shared" si="57"/>
        <v>-5612</v>
      </c>
      <c r="AC79" s="158">
        <f t="shared" si="57"/>
        <v>-2590</v>
      </c>
      <c r="AD79" s="158">
        <f t="shared" si="57"/>
        <v>-6568</v>
      </c>
      <c r="AE79" s="158">
        <f t="shared" si="57"/>
        <v>-4924</v>
      </c>
      <c r="AF79" s="158">
        <f t="shared" si="57"/>
        <v>-4924</v>
      </c>
      <c r="AG79" s="158">
        <f t="shared" si="57"/>
        <v>-4924</v>
      </c>
      <c r="AH79" s="158">
        <f t="shared" si="57"/>
        <v>-4924</v>
      </c>
      <c r="AI79" s="158">
        <f t="shared" si="57"/>
        <v>-4924</v>
      </c>
      <c r="AJ79" s="158">
        <f t="shared" si="57"/>
        <v>-4924</v>
      </c>
      <c r="AK79" s="158">
        <f t="shared" si="57"/>
        <v>-4924</v>
      </c>
      <c r="AL79" s="158">
        <f t="shared" si="57"/>
        <v>-5248</v>
      </c>
      <c r="AM79" s="158">
        <f t="shared" si="57"/>
        <v>-11318</v>
      </c>
      <c r="AN79" s="294"/>
      <c r="AO79" s="9"/>
      <c r="AP79" s="9"/>
      <c r="AQ79" s="9"/>
      <c r="AR79" s="9"/>
      <c r="AS79" s="9"/>
      <c r="AT79" s="9"/>
      <c r="AU79" s="9"/>
      <c r="AV79" s="9"/>
      <c r="AW79" s="9"/>
      <c r="AX79" s="9"/>
    </row>
    <row r="80" spans="1:50" ht="16.5" customHeight="1" outlineLevel="1" x14ac:dyDescent="0.2">
      <c r="A80" s="48"/>
      <c r="B80" s="46" t="s">
        <v>54</v>
      </c>
      <c r="C80" s="50">
        <v>5</v>
      </c>
      <c r="D80" s="279">
        <f t="shared" ref="D80:AM80" si="58">-$C80*D36</f>
        <v>-12145</v>
      </c>
      <c r="E80" s="279">
        <f t="shared" si="58"/>
        <v>-4930</v>
      </c>
      <c r="F80" s="279">
        <f t="shared" si="58"/>
        <v>-16160</v>
      </c>
      <c r="G80" s="51">
        <f t="shared" si="58"/>
        <v>-12310</v>
      </c>
      <c r="H80" s="51">
        <f t="shared" si="58"/>
        <v>-12310</v>
      </c>
      <c r="I80" s="51">
        <f t="shared" si="58"/>
        <v>-12310</v>
      </c>
      <c r="J80" s="51">
        <f t="shared" si="58"/>
        <v>-12310</v>
      </c>
      <c r="K80" s="51">
        <f t="shared" si="58"/>
        <v>-12310</v>
      </c>
      <c r="L80" s="51">
        <f t="shared" si="58"/>
        <v>-12310</v>
      </c>
      <c r="M80" s="51">
        <f t="shared" si="58"/>
        <v>-12310</v>
      </c>
      <c r="N80" s="51">
        <f t="shared" si="58"/>
        <v>-13120</v>
      </c>
      <c r="O80" s="278">
        <f t="shared" si="58"/>
        <v>-28295</v>
      </c>
      <c r="P80" s="51">
        <f t="shared" si="58"/>
        <v>-14030</v>
      </c>
      <c r="Q80" s="51">
        <f t="shared" si="58"/>
        <v>-6475</v>
      </c>
      <c r="R80" s="51">
        <f t="shared" si="58"/>
        <v>-16420</v>
      </c>
      <c r="S80" s="51">
        <f t="shared" si="58"/>
        <v>-12310</v>
      </c>
      <c r="T80" s="51">
        <f t="shared" si="58"/>
        <v>-12310</v>
      </c>
      <c r="U80" s="51">
        <f t="shared" si="58"/>
        <v>-12310</v>
      </c>
      <c r="V80" s="51">
        <f t="shared" si="58"/>
        <v>-12310</v>
      </c>
      <c r="W80" s="51">
        <f t="shared" si="58"/>
        <v>-12310</v>
      </c>
      <c r="X80" s="51">
        <f t="shared" si="58"/>
        <v>-12310</v>
      </c>
      <c r="Y80" s="51">
        <f t="shared" si="58"/>
        <v>-12310</v>
      </c>
      <c r="Z80" s="51">
        <f t="shared" si="58"/>
        <v>-13120</v>
      </c>
      <c r="AA80" s="278">
        <f t="shared" si="58"/>
        <v>-28295</v>
      </c>
      <c r="AB80" s="51">
        <f t="shared" si="58"/>
        <v>-14030</v>
      </c>
      <c r="AC80" s="51">
        <f t="shared" si="58"/>
        <v>-6475</v>
      </c>
      <c r="AD80" s="51">
        <f t="shared" si="58"/>
        <v>-16420</v>
      </c>
      <c r="AE80" s="51">
        <f t="shared" si="58"/>
        <v>-12310</v>
      </c>
      <c r="AF80" s="51">
        <f t="shared" si="58"/>
        <v>-12310</v>
      </c>
      <c r="AG80" s="51">
        <f t="shared" si="58"/>
        <v>-12310</v>
      </c>
      <c r="AH80" s="51">
        <f t="shared" si="58"/>
        <v>-12310</v>
      </c>
      <c r="AI80" s="51">
        <f t="shared" si="58"/>
        <v>-12310</v>
      </c>
      <c r="AJ80" s="51">
        <f t="shared" si="58"/>
        <v>-12310</v>
      </c>
      <c r="AK80" s="51">
        <f t="shared" si="58"/>
        <v>-12310</v>
      </c>
      <c r="AL80" s="51">
        <f t="shared" si="58"/>
        <v>-13120</v>
      </c>
      <c r="AM80" s="51">
        <f t="shared" si="58"/>
        <v>-28295</v>
      </c>
      <c r="AN80" s="294"/>
      <c r="AO80" s="9"/>
      <c r="AP80" s="9"/>
      <c r="AQ80" s="9"/>
      <c r="AR80" s="9"/>
      <c r="AS80" s="9"/>
      <c r="AT80" s="9"/>
      <c r="AU80" s="9"/>
      <c r="AV80" s="9"/>
      <c r="AW80" s="9"/>
      <c r="AX80" s="9"/>
    </row>
    <row r="81" spans="1:50" ht="16.5" customHeight="1" x14ac:dyDescent="0.2">
      <c r="A81" s="48"/>
      <c r="B81" s="78" t="s">
        <v>250</v>
      </c>
      <c r="C81" s="79"/>
      <c r="D81" s="80">
        <f t="shared" ref="D81:AM81" si="59">SUM(D82:D87)</f>
        <v>-184520.12</v>
      </c>
      <c r="E81" s="80">
        <f t="shared" si="59"/>
        <v>-85013.482400000008</v>
      </c>
      <c r="F81" s="80">
        <f t="shared" si="59"/>
        <v>-207171.91199999998</v>
      </c>
      <c r="G81" s="80">
        <f t="shared" si="59"/>
        <v>-146430.72</v>
      </c>
      <c r="H81" s="80">
        <f t="shared" si="59"/>
        <v>-146430.72</v>
      </c>
      <c r="I81" s="80">
        <f t="shared" si="59"/>
        <v>-146430.72</v>
      </c>
      <c r="J81" s="80">
        <f t="shared" si="59"/>
        <v>-146430.72</v>
      </c>
      <c r="K81" s="80">
        <f t="shared" si="59"/>
        <v>-146430.72</v>
      </c>
      <c r="L81" s="80">
        <f t="shared" si="59"/>
        <v>-146430.72</v>
      </c>
      <c r="M81" s="80">
        <f t="shared" si="59"/>
        <v>-146430.72</v>
      </c>
      <c r="N81" s="80">
        <f t="shared" si="59"/>
        <v>-168395.32800000001</v>
      </c>
      <c r="O81" s="292">
        <f t="shared" si="59"/>
        <v>-353360.44799999997</v>
      </c>
      <c r="P81" s="80">
        <f t="shared" si="59"/>
        <v>-164156.54399999999</v>
      </c>
      <c r="Q81" s="80">
        <f t="shared" si="59"/>
        <v>-80922.239999999991</v>
      </c>
      <c r="R81" s="80">
        <f t="shared" si="59"/>
        <v>-193828.03199999998</v>
      </c>
      <c r="S81" s="80">
        <f t="shared" si="59"/>
        <v>-146430.72</v>
      </c>
      <c r="T81" s="80">
        <f t="shared" si="59"/>
        <v>-146430.72</v>
      </c>
      <c r="U81" s="80">
        <f t="shared" si="59"/>
        <v>-146430.72</v>
      </c>
      <c r="V81" s="80">
        <f t="shared" si="59"/>
        <v>-146430.72</v>
      </c>
      <c r="W81" s="80">
        <f t="shared" si="59"/>
        <v>-146430.72</v>
      </c>
      <c r="X81" s="80">
        <f t="shared" si="59"/>
        <v>-146430.72</v>
      </c>
      <c r="Y81" s="80">
        <f t="shared" si="59"/>
        <v>-146430.72</v>
      </c>
      <c r="Z81" s="80">
        <f t="shared" si="59"/>
        <v>-168395.32800000001</v>
      </c>
      <c r="AA81" s="292">
        <f t="shared" si="59"/>
        <v>-353360.44799999997</v>
      </c>
      <c r="AB81" s="80">
        <f t="shared" si="59"/>
        <v>-164156.54399999999</v>
      </c>
      <c r="AC81" s="80">
        <f t="shared" si="59"/>
        <v>-80922.239999999991</v>
      </c>
      <c r="AD81" s="80">
        <f t="shared" si="59"/>
        <v>-193828.03199999998</v>
      </c>
      <c r="AE81" s="80">
        <f t="shared" si="59"/>
        <v>-146430.72</v>
      </c>
      <c r="AF81" s="80">
        <f t="shared" si="59"/>
        <v>-146430.72</v>
      </c>
      <c r="AG81" s="80">
        <f t="shared" si="59"/>
        <v>-146430.72</v>
      </c>
      <c r="AH81" s="80">
        <f t="shared" si="59"/>
        <v>-146430.72</v>
      </c>
      <c r="AI81" s="80">
        <f t="shared" si="59"/>
        <v>-146430.72</v>
      </c>
      <c r="AJ81" s="80">
        <f t="shared" si="59"/>
        <v>-146430.72</v>
      </c>
      <c r="AK81" s="80">
        <f t="shared" si="59"/>
        <v>-146430.72</v>
      </c>
      <c r="AL81" s="80">
        <f t="shared" si="59"/>
        <v>-168395.32800000001</v>
      </c>
      <c r="AM81" s="80">
        <f t="shared" si="59"/>
        <v>-353360.44799999997</v>
      </c>
      <c r="AN81" s="297">
        <f>SUM(D81:O81)</f>
        <v>-2023476.3303999999</v>
      </c>
      <c r="AO81" s="9"/>
      <c r="AP81" s="9"/>
      <c r="AQ81" s="9"/>
      <c r="AR81" s="9"/>
      <c r="AS81" s="9"/>
      <c r="AT81" s="9"/>
      <c r="AU81" s="9"/>
      <c r="AV81" s="9"/>
      <c r="AW81" s="9"/>
      <c r="AX81" s="9"/>
    </row>
    <row r="82" spans="1:50" ht="16.5" customHeight="1" outlineLevel="1" x14ac:dyDescent="0.2">
      <c r="A82" s="48"/>
      <c r="B82" s="81" t="s">
        <v>243</v>
      </c>
      <c r="C82" s="55">
        <v>0.2072</v>
      </c>
      <c r="D82" s="279">
        <f t="shared" ref="D82:AM82" si="60">-D40*$C82</f>
        <v>-78394.12</v>
      </c>
      <c r="E82" s="279">
        <f t="shared" si="60"/>
        <v>-36014.882400000002</v>
      </c>
      <c r="F82" s="279">
        <f t="shared" si="60"/>
        <v>-84788.311999999991</v>
      </c>
      <c r="G82" s="51">
        <f t="shared" si="60"/>
        <v>-60626.720000000001</v>
      </c>
      <c r="H82" s="51">
        <f t="shared" si="60"/>
        <v>-60626.720000000001</v>
      </c>
      <c r="I82" s="51">
        <f t="shared" si="60"/>
        <v>-60626.720000000001</v>
      </c>
      <c r="J82" s="51">
        <f t="shared" si="60"/>
        <v>-60626.720000000001</v>
      </c>
      <c r="K82" s="51">
        <f t="shared" si="60"/>
        <v>-60626.720000000001</v>
      </c>
      <c r="L82" s="51">
        <f t="shared" si="60"/>
        <v>-60626.720000000001</v>
      </c>
      <c r="M82" s="51">
        <f t="shared" si="60"/>
        <v>-60626.720000000001</v>
      </c>
      <c r="N82" s="51">
        <f t="shared" si="60"/>
        <v>-69720.728000000003</v>
      </c>
      <c r="O82" s="278">
        <f t="shared" si="60"/>
        <v>-146301.848</v>
      </c>
      <c r="P82" s="51">
        <f t="shared" si="60"/>
        <v>-67965.743999999992</v>
      </c>
      <c r="Q82" s="51">
        <f t="shared" si="60"/>
        <v>-33504.239999999998</v>
      </c>
      <c r="R82" s="51">
        <f t="shared" si="60"/>
        <v>-80250.631999999998</v>
      </c>
      <c r="S82" s="51">
        <f t="shared" si="60"/>
        <v>-60626.720000000001</v>
      </c>
      <c r="T82" s="51">
        <f t="shared" si="60"/>
        <v>-60626.720000000001</v>
      </c>
      <c r="U82" s="51">
        <f t="shared" si="60"/>
        <v>-60626.720000000001</v>
      </c>
      <c r="V82" s="51">
        <f t="shared" si="60"/>
        <v>-60626.720000000001</v>
      </c>
      <c r="W82" s="51">
        <f t="shared" si="60"/>
        <v>-60626.720000000001</v>
      </c>
      <c r="X82" s="51">
        <f t="shared" si="60"/>
        <v>-60626.720000000001</v>
      </c>
      <c r="Y82" s="51">
        <f t="shared" si="60"/>
        <v>-60626.720000000001</v>
      </c>
      <c r="Z82" s="51">
        <f t="shared" si="60"/>
        <v>-69720.728000000003</v>
      </c>
      <c r="AA82" s="278">
        <f t="shared" si="60"/>
        <v>-146301.848</v>
      </c>
      <c r="AB82" s="51">
        <f t="shared" si="60"/>
        <v>-67965.743999999992</v>
      </c>
      <c r="AC82" s="51">
        <f t="shared" si="60"/>
        <v>-33504.239999999998</v>
      </c>
      <c r="AD82" s="51">
        <f t="shared" si="60"/>
        <v>-80250.631999999998</v>
      </c>
      <c r="AE82" s="51">
        <f t="shared" si="60"/>
        <v>-60626.720000000001</v>
      </c>
      <c r="AF82" s="51">
        <f t="shared" si="60"/>
        <v>-60626.720000000001</v>
      </c>
      <c r="AG82" s="51">
        <f t="shared" si="60"/>
        <v>-60626.720000000001</v>
      </c>
      <c r="AH82" s="51">
        <f t="shared" si="60"/>
        <v>-60626.720000000001</v>
      </c>
      <c r="AI82" s="51">
        <f t="shared" si="60"/>
        <v>-60626.720000000001</v>
      </c>
      <c r="AJ82" s="51">
        <f t="shared" si="60"/>
        <v>-60626.720000000001</v>
      </c>
      <c r="AK82" s="51">
        <f t="shared" si="60"/>
        <v>-60626.720000000001</v>
      </c>
      <c r="AL82" s="51">
        <f t="shared" si="60"/>
        <v>-69720.728000000003</v>
      </c>
      <c r="AM82" s="51">
        <f t="shared" si="60"/>
        <v>-146301.848</v>
      </c>
      <c r="AN82" s="294"/>
      <c r="AO82" s="9"/>
      <c r="AP82" s="9"/>
      <c r="AQ82" s="9"/>
      <c r="AR82" s="9"/>
      <c r="AS82" s="9"/>
      <c r="AT82" s="9"/>
      <c r="AU82" s="9"/>
      <c r="AV82" s="9"/>
      <c r="AW82" s="9"/>
      <c r="AX82" s="9"/>
    </row>
    <row r="83" spans="1:50" ht="16.5" customHeight="1" outlineLevel="1" x14ac:dyDescent="0.2">
      <c r="A83" s="48"/>
      <c r="B83" s="46" t="s">
        <v>251</v>
      </c>
      <c r="C83" s="50">
        <v>143</v>
      </c>
      <c r="D83" s="279">
        <f t="shared" ref="D83:AM83" si="61">-$C83*D48</f>
        <v>-67210</v>
      </c>
      <c r="E83" s="279">
        <f t="shared" si="61"/>
        <v>-31031</v>
      </c>
      <c r="F83" s="279">
        <f t="shared" si="61"/>
        <v>-77506</v>
      </c>
      <c r="G83" s="51">
        <f t="shared" si="61"/>
        <v>-54340</v>
      </c>
      <c r="H83" s="51">
        <f t="shared" si="61"/>
        <v>-54340</v>
      </c>
      <c r="I83" s="51">
        <f t="shared" si="61"/>
        <v>-54340</v>
      </c>
      <c r="J83" s="51">
        <f t="shared" si="61"/>
        <v>-54340</v>
      </c>
      <c r="K83" s="51">
        <f t="shared" si="61"/>
        <v>-54340</v>
      </c>
      <c r="L83" s="51">
        <f t="shared" si="61"/>
        <v>-54340</v>
      </c>
      <c r="M83" s="51">
        <f t="shared" si="61"/>
        <v>-54340</v>
      </c>
      <c r="N83" s="51">
        <f t="shared" si="61"/>
        <v>-62491</v>
      </c>
      <c r="O83" s="278">
        <f t="shared" si="61"/>
        <v>-131131</v>
      </c>
      <c r="P83" s="51">
        <f t="shared" si="61"/>
        <v>-60918</v>
      </c>
      <c r="Q83" s="51">
        <f t="shared" si="61"/>
        <v>-30030</v>
      </c>
      <c r="R83" s="51">
        <f t="shared" si="61"/>
        <v>-71929</v>
      </c>
      <c r="S83" s="51">
        <f t="shared" si="61"/>
        <v>-54340</v>
      </c>
      <c r="T83" s="51">
        <f t="shared" si="61"/>
        <v>-54340</v>
      </c>
      <c r="U83" s="51">
        <f t="shared" si="61"/>
        <v>-54340</v>
      </c>
      <c r="V83" s="51">
        <f t="shared" si="61"/>
        <v>-54340</v>
      </c>
      <c r="W83" s="51">
        <f t="shared" si="61"/>
        <v>-54340</v>
      </c>
      <c r="X83" s="51">
        <f t="shared" si="61"/>
        <v>-54340</v>
      </c>
      <c r="Y83" s="51">
        <f t="shared" si="61"/>
        <v>-54340</v>
      </c>
      <c r="Z83" s="51">
        <f t="shared" si="61"/>
        <v>-62491</v>
      </c>
      <c r="AA83" s="278">
        <f t="shared" si="61"/>
        <v>-131131</v>
      </c>
      <c r="AB83" s="51">
        <f t="shared" si="61"/>
        <v>-60918</v>
      </c>
      <c r="AC83" s="51">
        <f t="shared" si="61"/>
        <v>-30030</v>
      </c>
      <c r="AD83" s="51">
        <f t="shared" si="61"/>
        <v>-71929</v>
      </c>
      <c r="AE83" s="51">
        <f t="shared" si="61"/>
        <v>-54340</v>
      </c>
      <c r="AF83" s="51">
        <f t="shared" si="61"/>
        <v>-54340</v>
      </c>
      <c r="AG83" s="51">
        <f t="shared" si="61"/>
        <v>-54340</v>
      </c>
      <c r="AH83" s="51">
        <f t="shared" si="61"/>
        <v>-54340</v>
      </c>
      <c r="AI83" s="51">
        <f t="shared" si="61"/>
        <v>-54340</v>
      </c>
      <c r="AJ83" s="51">
        <f t="shared" si="61"/>
        <v>-54340</v>
      </c>
      <c r="AK83" s="51">
        <f t="shared" si="61"/>
        <v>-54340</v>
      </c>
      <c r="AL83" s="51">
        <f t="shared" si="61"/>
        <v>-62491</v>
      </c>
      <c r="AM83" s="51">
        <f t="shared" si="61"/>
        <v>-131131</v>
      </c>
      <c r="AN83" s="294"/>
      <c r="AO83" s="9"/>
      <c r="AP83" s="9"/>
      <c r="AQ83" s="9"/>
      <c r="AR83" s="9"/>
      <c r="AS83" s="9"/>
      <c r="AT83" s="9"/>
      <c r="AU83" s="9"/>
      <c r="AV83" s="9"/>
      <c r="AW83" s="9"/>
      <c r="AX83" s="9"/>
    </row>
    <row r="84" spans="1:50" ht="16.5" customHeight="1" outlineLevel="1" x14ac:dyDescent="0.2">
      <c r="A84" s="48"/>
      <c r="B84" s="46" t="s">
        <v>244</v>
      </c>
      <c r="C84" s="50">
        <v>75.8</v>
      </c>
      <c r="D84" s="279">
        <f t="shared" ref="D84:AM84" si="62">-D48*$C84</f>
        <v>-35626</v>
      </c>
      <c r="E84" s="279">
        <f t="shared" si="62"/>
        <v>-16448.599999999999</v>
      </c>
      <c r="F84" s="279">
        <f t="shared" si="62"/>
        <v>-41083.599999999999</v>
      </c>
      <c r="G84" s="51">
        <f t="shared" si="62"/>
        <v>-28804</v>
      </c>
      <c r="H84" s="51">
        <f t="shared" si="62"/>
        <v>-28804</v>
      </c>
      <c r="I84" s="51">
        <f t="shared" si="62"/>
        <v>-28804</v>
      </c>
      <c r="J84" s="51">
        <f t="shared" si="62"/>
        <v>-28804</v>
      </c>
      <c r="K84" s="51">
        <f t="shared" si="62"/>
        <v>-28804</v>
      </c>
      <c r="L84" s="51">
        <f t="shared" si="62"/>
        <v>-28804</v>
      </c>
      <c r="M84" s="51">
        <f t="shared" si="62"/>
        <v>-28804</v>
      </c>
      <c r="N84" s="51">
        <f t="shared" si="62"/>
        <v>-33124.6</v>
      </c>
      <c r="O84" s="278">
        <f t="shared" si="62"/>
        <v>-69508.599999999991</v>
      </c>
      <c r="P84" s="51">
        <f t="shared" si="62"/>
        <v>-32290.799999999999</v>
      </c>
      <c r="Q84" s="51">
        <f t="shared" si="62"/>
        <v>-15918</v>
      </c>
      <c r="R84" s="51">
        <f t="shared" si="62"/>
        <v>-38127.4</v>
      </c>
      <c r="S84" s="51">
        <f t="shared" si="62"/>
        <v>-28804</v>
      </c>
      <c r="T84" s="51">
        <f t="shared" si="62"/>
        <v>-28804</v>
      </c>
      <c r="U84" s="51">
        <f t="shared" si="62"/>
        <v>-28804</v>
      </c>
      <c r="V84" s="51">
        <f t="shared" si="62"/>
        <v>-28804</v>
      </c>
      <c r="W84" s="51">
        <f t="shared" si="62"/>
        <v>-28804</v>
      </c>
      <c r="X84" s="51">
        <f t="shared" si="62"/>
        <v>-28804</v>
      </c>
      <c r="Y84" s="51">
        <f t="shared" si="62"/>
        <v>-28804</v>
      </c>
      <c r="Z84" s="51">
        <f t="shared" si="62"/>
        <v>-33124.6</v>
      </c>
      <c r="AA84" s="278">
        <f t="shared" si="62"/>
        <v>-69508.599999999991</v>
      </c>
      <c r="AB84" s="51">
        <f t="shared" si="62"/>
        <v>-32290.799999999999</v>
      </c>
      <c r="AC84" s="51">
        <f t="shared" si="62"/>
        <v>-15918</v>
      </c>
      <c r="AD84" s="51">
        <f t="shared" si="62"/>
        <v>-38127.4</v>
      </c>
      <c r="AE84" s="51">
        <f t="shared" si="62"/>
        <v>-28804</v>
      </c>
      <c r="AF84" s="51">
        <f t="shared" si="62"/>
        <v>-28804</v>
      </c>
      <c r="AG84" s="51">
        <f t="shared" si="62"/>
        <v>-28804</v>
      </c>
      <c r="AH84" s="51">
        <f t="shared" si="62"/>
        <v>-28804</v>
      </c>
      <c r="AI84" s="51">
        <f t="shared" si="62"/>
        <v>-28804</v>
      </c>
      <c r="AJ84" s="51">
        <f t="shared" si="62"/>
        <v>-28804</v>
      </c>
      <c r="AK84" s="51">
        <f t="shared" si="62"/>
        <v>-28804</v>
      </c>
      <c r="AL84" s="51">
        <f t="shared" si="62"/>
        <v>-33124.6</v>
      </c>
      <c r="AM84" s="51">
        <f t="shared" si="62"/>
        <v>-69508.599999999991</v>
      </c>
      <c r="AN84" s="294"/>
      <c r="AO84" s="9"/>
      <c r="AP84" s="9"/>
      <c r="AQ84" s="9"/>
      <c r="AR84" s="9"/>
      <c r="AS84" s="9"/>
      <c r="AT84" s="9"/>
      <c r="AU84" s="9"/>
      <c r="AV84" s="9"/>
      <c r="AW84" s="9"/>
      <c r="AX84" s="9"/>
    </row>
    <row r="85" spans="1:50" ht="16.5" customHeight="1" outlineLevel="1" x14ac:dyDescent="0.2">
      <c r="A85" s="48"/>
      <c r="B85" s="83" t="s">
        <v>245</v>
      </c>
      <c r="C85" s="55">
        <v>0</v>
      </c>
      <c r="D85" s="279">
        <f t="shared" ref="D85:AM85" si="63">-$C85*D40</f>
        <v>0</v>
      </c>
      <c r="E85" s="279">
        <f t="shared" si="63"/>
        <v>0</v>
      </c>
      <c r="F85" s="279">
        <f t="shared" si="63"/>
        <v>0</v>
      </c>
      <c r="G85" s="51">
        <f t="shared" si="63"/>
        <v>0</v>
      </c>
      <c r="H85" s="51">
        <f t="shared" si="63"/>
        <v>0</v>
      </c>
      <c r="I85" s="51">
        <f t="shared" si="63"/>
        <v>0</v>
      </c>
      <c r="J85" s="51">
        <f t="shared" si="63"/>
        <v>0</v>
      </c>
      <c r="K85" s="51">
        <f t="shared" si="63"/>
        <v>0</v>
      </c>
      <c r="L85" s="51">
        <f t="shared" si="63"/>
        <v>0</v>
      </c>
      <c r="M85" s="51">
        <f t="shared" si="63"/>
        <v>0</v>
      </c>
      <c r="N85" s="51">
        <f t="shared" si="63"/>
        <v>0</v>
      </c>
      <c r="O85" s="278">
        <f t="shared" si="63"/>
        <v>0</v>
      </c>
      <c r="P85" s="51">
        <f t="shared" si="63"/>
        <v>0</v>
      </c>
      <c r="Q85" s="51">
        <f t="shared" si="63"/>
        <v>0</v>
      </c>
      <c r="R85" s="51">
        <f t="shared" si="63"/>
        <v>0</v>
      </c>
      <c r="S85" s="51">
        <f t="shared" si="63"/>
        <v>0</v>
      </c>
      <c r="T85" s="51">
        <f t="shared" si="63"/>
        <v>0</v>
      </c>
      <c r="U85" s="51">
        <f t="shared" si="63"/>
        <v>0</v>
      </c>
      <c r="V85" s="51">
        <f t="shared" si="63"/>
        <v>0</v>
      </c>
      <c r="W85" s="51">
        <f t="shared" si="63"/>
        <v>0</v>
      </c>
      <c r="X85" s="51">
        <f t="shared" si="63"/>
        <v>0</v>
      </c>
      <c r="Y85" s="51">
        <f t="shared" si="63"/>
        <v>0</v>
      </c>
      <c r="Z85" s="51">
        <f t="shared" si="63"/>
        <v>0</v>
      </c>
      <c r="AA85" s="278">
        <f t="shared" si="63"/>
        <v>0</v>
      </c>
      <c r="AB85" s="51">
        <f t="shared" si="63"/>
        <v>0</v>
      </c>
      <c r="AC85" s="51">
        <f t="shared" si="63"/>
        <v>0</v>
      </c>
      <c r="AD85" s="51">
        <f t="shared" si="63"/>
        <v>0</v>
      </c>
      <c r="AE85" s="51">
        <f t="shared" si="63"/>
        <v>0</v>
      </c>
      <c r="AF85" s="51">
        <f t="shared" si="63"/>
        <v>0</v>
      </c>
      <c r="AG85" s="51">
        <f t="shared" si="63"/>
        <v>0</v>
      </c>
      <c r="AH85" s="51">
        <f t="shared" si="63"/>
        <v>0</v>
      </c>
      <c r="AI85" s="51">
        <f t="shared" si="63"/>
        <v>0</v>
      </c>
      <c r="AJ85" s="51">
        <f t="shared" si="63"/>
        <v>0</v>
      </c>
      <c r="AK85" s="51">
        <f t="shared" si="63"/>
        <v>0</v>
      </c>
      <c r="AL85" s="51">
        <f t="shared" si="63"/>
        <v>0</v>
      </c>
      <c r="AM85" s="51">
        <f t="shared" si="63"/>
        <v>0</v>
      </c>
      <c r="AN85" s="294"/>
      <c r="AO85" s="9"/>
      <c r="AP85" s="9"/>
      <c r="AQ85" s="9"/>
      <c r="AR85" s="9"/>
      <c r="AS85" s="9"/>
      <c r="AT85" s="9"/>
      <c r="AU85" s="9"/>
      <c r="AV85" s="9"/>
      <c r="AW85" s="9"/>
      <c r="AX85" s="9"/>
    </row>
    <row r="86" spans="1:50" ht="21" customHeight="1" outlineLevel="1" x14ac:dyDescent="0.2">
      <c r="A86" s="120"/>
      <c r="B86" s="46" t="s">
        <v>246</v>
      </c>
      <c r="C86" s="82">
        <v>2</v>
      </c>
      <c r="D86" s="296">
        <f t="shared" ref="D86:AM86" si="64">-$C86*D48</f>
        <v>-940</v>
      </c>
      <c r="E86" s="296">
        <f t="shared" si="64"/>
        <v>-434</v>
      </c>
      <c r="F86" s="296">
        <f t="shared" si="64"/>
        <v>-1084</v>
      </c>
      <c r="G86" s="158">
        <f t="shared" si="64"/>
        <v>-760</v>
      </c>
      <c r="H86" s="158">
        <f t="shared" si="64"/>
        <v>-760</v>
      </c>
      <c r="I86" s="158">
        <f t="shared" si="64"/>
        <v>-760</v>
      </c>
      <c r="J86" s="158">
        <f t="shared" si="64"/>
        <v>-760</v>
      </c>
      <c r="K86" s="158">
        <f t="shared" si="64"/>
        <v>-760</v>
      </c>
      <c r="L86" s="158">
        <f t="shared" si="64"/>
        <v>-760</v>
      </c>
      <c r="M86" s="158">
        <f t="shared" si="64"/>
        <v>-760</v>
      </c>
      <c r="N86" s="158">
        <f t="shared" si="64"/>
        <v>-874</v>
      </c>
      <c r="O86" s="287">
        <f t="shared" si="64"/>
        <v>-1834</v>
      </c>
      <c r="P86" s="158">
        <f t="shared" si="64"/>
        <v>-852</v>
      </c>
      <c r="Q86" s="158">
        <f t="shared" si="64"/>
        <v>-420</v>
      </c>
      <c r="R86" s="158">
        <f t="shared" si="64"/>
        <v>-1006</v>
      </c>
      <c r="S86" s="158">
        <f t="shared" si="64"/>
        <v>-760</v>
      </c>
      <c r="T86" s="158">
        <f t="shared" si="64"/>
        <v>-760</v>
      </c>
      <c r="U86" s="158">
        <f t="shared" si="64"/>
        <v>-760</v>
      </c>
      <c r="V86" s="158">
        <f t="shared" si="64"/>
        <v>-760</v>
      </c>
      <c r="W86" s="158">
        <f t="shared" si="64"/>
        <v>-760</v>
      </c>
      <c r="X86" s="158">
        <f t="shared" si="64"/>
        <v>-760</v>
      </c>
      <c r="Y86" s="158">
        <f t="shared" si="64"/>
        <v>-760</v>
      </c>
      <c r="Z86" s="158">
        <f t="shared" si="64"/>
        <v>-874</v>
      </c>
      <c r="AA86" s="287">
        <f t="shared" si="64"/>
        <v>-1834</v>
      </c>
      <c r="AB86" s="158">
        <f t="shared" si="64"/>
        <v>-852</v>
      </c>
      <c r="AC86" s="158">
        <f t="shared" si="64"/>
        <v>-420</v>
      </c>
      <c r="AD86" s="158">
        <f t="shared" si="64"/>
        <v>-1006</v>
      </c>
      <c r="AE86" s="158">
        <f t="shared" si="64"/>
        <v>-760</v>
      </c>
      <c r="AF86" s="158">
        <f t="shared" si="64"/>
        <v>-760</v>
      </c>
      <c r="AG86" s="158">
        <f t="shared" si="64"/>
        <v>-760</v>
      </c>
      <c r="AH86" s="158">
        <f t="shared" si="64"/>
        <v>-760</v>
      </c>
      <c r="AI86" s="158">
        <f t="shared" si="64"/>
        <v>-760</v>
      </c>
      <c r="AJ86" s="158">
        <f t="shared" si="64"/>
        <v>-760</v>
      </c>
      <c r="AK86" s="158">
        <f t="shared" si="64"/>
        <v>-760</v>
      </c>
      <c r="AL86" s="158">
        <f t="shared" si="64"/>
        <v>-874</v>
      </c>
      <c r="AM86" s="158">
        <f t="shared" si="64"/>
        <v>-1834</v>
      </c>
      <c r="AN86" s="8"/>
      <c r="AO86" s="9"/>
      <c r="AP86" s="9"/>
      <c r="AQ86" s="9"/>
      <c r="AR86" s="9"/>
      <c r="AS86" s="9"/>
      <c r="AT86" s="9"/>
      <c r="AU86" s="9"/>
      <c r="AV86" s="9"/>
      <c r="AW86" s="9"/>
      <c r="AX86" s="9"/>
    </row>
    <row r="87" spans="1:50" ht="15.75" customHeight="1" outlineLevel="1" x14ac:dyDescent="0.2">
      <c r="A87" s="16"/>
      <c r="B87" s="46" t="s">
        <v>54</v>
      </c>
      <c r="C87" s="50">
        <v>5</v>
      </c>
      <c r="D87" s="279">
        <f t="shared" ref="D87:AM87" si="65">-$C87*D48</f>
        <v>-2350</v>
      </c>
      <c r="E87" s="279">
        <f t="shared" si="65"/>
        <v>-1085</v>
      </c>
      <c r="F87" s="279">
        <f t="shared" si="65"/>
        <v>-2710</v>
      </c>
      <c r="G87" s="51">
        <f t="shared" si="65"/>
        <v>-1900</v>
      </c>
      <c r="H87" s="51">
        <f t="shared" si="65"/>
        <v>-1900</v>
      </c>
      <c r="I87" s="51">
        <f t="shared" si="65"/>
        <v>-1900</v>
      </c>
      <c r="J87" s="51">
        <f t="shared" si="65"/>
        <v>-1900</v>
      </c>
      <c r="K87" s="51">
        <f t="shared" si="65"/>
        <v>-1900</v>
      </c>
      <c r="L87" s="51">
        <f t="shared" si="65"/>
        <v>-1900</v>
      </c>
      <c r="M87" s="51">
        <f t="shared" si="65"/>
        <v>-1900</v>
      </c>
      <c r="N87" s="51">
        <f t="shared" si="65"/>
        <v>-2185</v>
      </c>
      <c r="O87" s="278">
        <f t="shared" si="65"/>
        <v>-4585</v>
      </c>
      <c r="P87" s="51">
        <f t="shared" si="65"/>
        <v>-2130</v>
      </c>
      <c r="Q87" s="51">
        <f t="shared" si="65"/>
        <v>-1050</v>
      </c>
      <c r="R87" s="51">
        <f t="shared" si="65"/>
        <v>-2515</v>
      </c>
      <c r="S87" s="51">
        <f t="shared" si="65"/>
        <v>-1900</v>
      </c>
      <c r="T87" s="51">
        <f t="shared" si="65"/>
        <v>-1900</v>
      </c>
      <c r="U87" s="51">
        <f t="shared" si="65"/>
        <v>-1900</v>
      </c>
      <c r="V87" s="51">
        <f t="shared" si="65"/>
        <v>-1900</v>
      </c>
      <c r="W87" s="51">
        <f t="shared" si="65"/>
        <v>-1900</v>
      </c>
      <c r="X87" s="51">
        <f t="shared" si="65"/>
        <v>-1900</v>
      </c>
      <c r="Y87" s="51">
        <f t="shared" si="65"/>
        <v>-1900</v>
      </c>
      <c r="Z87" s="51">
        <f t="shared" si="65"/>
        <v>-2185</v>
      </c>
      <c r="AA87" s="278">
        <f t="shared" si="65"/>
        <v>-4585</v>
      </c>
      <c r="AB87" s="51">
        <f t="shared" si="65"/>
        <v>-2130</v>
      </c>
      <c r="AC87" s="51">
        <f t="shared" si="65"/>
        <v>-1050</v>
      </c>
      <c r="AD87" s="51">
        <f t="shared" si="65"/>
        <v>-2515</v>
      </c>
      <c r="AE87" s="51">
        <f t="shared" si="65"/>
        <v>-1900</v>
      </c>
      <c r="AF87" s="51">
        <f t="shared" si="65"/>
        <v>-1900</v>
      </c>
      <c r="AG87" s="51">
        <f t="shared" si="65"/>
        <v>-1900</v>
      </c>
      <c r="AH87" s="51">
        <f t="shared" si="65"/>
        <v>-1900</v>
      </c>
      <c r="AI87" s="51">
        <f t="shared" si="65"/>
        <v>-1900</v>
      </c>
      <c r="AJ87" s="51">
        <f t="shared" si="65"/>
        <v>-1900</v>
      </c>
      <c r="AK87" s="51">
        <f t="shared" si="65"/>
        <v>-1900</v>
      </c>
      <c r="AL87" s="51">
        <f t="shared" si="65"/>
        <v>-2185</v>
      </c>
      <c r="AM87" s="51">
        <f t="shared" si="65"/>
        <v>-4585</v>
      </c>
      <c r="AN87" s="246"/>
      <c r="AO87" s="9"/>
      <c r="AP87" s="9"/>
      <c r="AQ87" s="9"/>
      <c r="AR87" s="9"/>
      <c r="AS87" s="9"/>
      <c r="AT87" s="9"/>
      <c r="AU87" s="9"/>
      <c r="AV87" s="9"/>
      <c r="AW87" s="9"/>
      <c r="AX87" s="9"/>
    </row>
    <row r="88" spans="1:50" ht="15.75" customHeight="1" outlineLevel="1" x14ac:dyDescent="0.2">
      <c r="A88" s="84"/>
      <c r="B88" s="78" t="s">
        <v>252</v>
      </c>
      <c r="C88" s="85"/>
      <c r="D88" s="86">
        <f t="shared" ref="D88:AM88" si="66">SUM(D89:D94)</f>
        <v>0</v>
      </c>
      <c r="E88" s="86">
        <f t="shared" si="66"/>
        <v>0</v>
      </c>
      <c r="F88" s="86">
        <f t="shared" si="66"/>
        <v>0</v>
      </c>
      <c r="G88" s="86">
        <f t="shared" si="66"/>
        <v>0</v>
      </c>
      <c r="H88" s="86">
        <f t="shared" si="66"/>
        <v>-608836.33324434713</v>
      </c>
      <c r="I88" s="86">
        <f t="shared" si="66"/>
        <v>-608836.33324434713</v>
      </c>
      <c r="J88" s="86">
        <f t="shared" si="66"/>
        <v>-608836.33324434713</v>
      </c>
      <c r="K88" s="86">
        <f t="shared" si="66"/>
        <v>-608836.33324434713</v>
      </c>
      <c r="L88" s="86">
        <f t="shared" si="66"/>
        <v>-608836.33324434713</v>
      </c>
      <c r="M88" s="86">
        <f t="shared" si="66"/>
        <v>-608836.33324434713</v>
      </c>
      <c r="N88" s="86">
        <f t="shared" si="66"/>
        <v>-648831.10277496045</v>
      </c>
      <c r="O88" s="298">
        <f t="shared" si="66"/>
        <v>-1399751.9806367937</v>
      </c>
      <c r="P88" s="86">
        <f t="shared" si="66"/>
        <v>-694103.29824850929</v>
      </c>
      <c r="Q88" s="86">
        <f t="shared" si="66"/>
        <v>-320104.30034794396</v>
      </c>
      <c r="R88" s="86">
        <f t="shared" si="66"/>
        <v>-812285.1629029169</v>
      </c>
      <c r="S88" s="86">
        <f t="shared" si="66"/>
        <v>-608836.33324434713</v>
      </c>
      <c r="T88" s="86">
        <f t="shared" si="66"/>
        <v>-608836.33324434713</v>
      </c>
      <c r="U88" s="86">
        <f t="shared" si="66"/>
        <v>-608836.33324434713</v>
      </c>
      <c r="V88" s="86">
        <f t="shared" si="66"/>
        <v>-608836.33324434713</v>
      </c>
      <c r="W88" s="86">
        <f t="shared" si="66"/>
        <v>-608836.33324434713</v>
      </c>
      <c r="X88" s="86">
        <f t="shared" si="66"/>
        <v>-608836.33324434713</v>
      </c>
      <c r="Y88" s="86">
        <f t="shared" si="66"/>
        <v>-608836.33324434713</v>
      </c>
      <c r="Z88" s="86">
        <f t="shared" si="66"/>
        <v>-648831.10277496045</v>
      </c>
      <c r="AA88" s="298">
        <f t="shared" si="66"/>
        <v>-1399751.9806367937</v>
      </c>
      <c r="AB88" s="86">
        <f t="shared" si="66"/>
        <v>-694103.29824850929</v>
      </c>
      <c r="AC88" s="86">
        <f t="shared" si="66"/>
        <v>-320104.30034794396</v>
      </c>
      <c r="AD88" s="86">
        <f t="shared" si="66"/>
        <v>-812285.1629029169</v>
      </c>
      <c r="AE88" s="86">
        <f t="shared" si="66"/>
        <v>-608836.33324434713</v>
      </c>
      <c r="AF88" s="86">
        <f t="shared" si="66"/>
        <v>-608836.33324434713</v>
      </c>
      <c r="AG88" s="86">
        <f t="shared" si="66"/>
        <v>-608836.33324434713</v>
      </c>
      <c r="AH88" s="86">
        <f t="shared" si="66"/>
        <v>-608836.33324434713</v>
      </c>
      <c r="AI88" s="86">
        <f t="shared" si="66"/>
        <v>-608836.33324434713</v>
      </c>
      <c r="AJ88" s="86">
        <f t="shared" si="66"/>
        <v>-608836.33324434713</v>
      </c>
      <c r="AK88" s="86">
        <f t="shared" si="66"/>
        <v>-608836.33324434713</v>
      </c>
      <c r="AL88" s="86">
        <f t="shared" si="66"/>
        <v>-648831.10277496045</v>
      </c>
      <c r="AM88" s="86">
        <f t="shared" si="66"/>
        <v>-1399751.9806367937</v>
      </c>
      <c r="AN88" s="80">
        <f>SUM(D88:O88)</f>
        <v>-5701601.0828778371</v>
      </c>
      <c r="AO88" s="204"/>
      <c r="AP88" s="204"/>
      <c r="AQ88" s="204"/>
      <c r="AR88" s="204"/>
      <c r="AS88" s="204"/>
      <c r="AT88" s="204"/>
      <c r="AU88" s="204"/>
      <c r="AV88" s="204"/>
      <c r="AW88" s="204"/>
      <c r="AX88" s="204"/>
    </row>
    <row r="89" spans="1:50" ht="15.75" customHeight="1" outlineLevel="1" x14ac:dyDescent="0.2">
      <c r="A89" s="16"/>
      <c r="B89" s="81" t="s">
        <v>243</v>
      </c>
      <c r="C89" s="55">
        <f t="shared" ref="C89:C94" si="67">C75</f>
        <v>0.2072</v>
      </c>
      <c r="D89" s="279">
        <f t="shared" ref="D89:AM89" si="68">-$C89*D52</f>
        <v>0</v>
      </c>
      <c r="E89" s="279">
        <f t="shared" si="68"/>
        <v>0</v>
      </c>
      <c r="F89" s="279">
        <f t="shared" si="68"/>
        <v>0</v>
      </c>
      <c r="G89" s="51">
        <f t="shared" si="68"/>
        <v>0</v>
      </c>
      <c r="H89" s="51">
        <f t="shared" si="68"/>
        <v>-249926.96031841147</v>
      </c>
      <c r="I89" s="51">
        <f t="shared" si="68"/>
        <v>-249926.96031841147</v>
      </c>
      <c r="J89" s="51">
        <f t="shared" si="68"/>
        <v>-249926.96031841147</v>
      </c>
      <c r="K89" s="51">
        <f t="shared" si="68"/>
        <v>-249926.96031841147</v>
      </c>
      <c r="L89" s="51">
        <f t="shared" si="68"/>
        <v>-249926.96031841147</v>
      </c>
      <c r="M89" s="51">
        <f t="shared" si="68"/>
        <v>-249926.96031841147</v>
      </c>
      <c r="N89" s="51">
        <f t="shared" si="68"/>
        <v>-266344.78992486169</v>
      </c>
      <c r="O89" s="278">
        <f t="shared" si="68"/>
        <v>-574597.37308389018</v>
      </c>
      <c r="P89" s="51">
        <f t="shared" si="68"/>
        <v>-284928.99980824918</v>
      </c>
      <c r="Q89" s="51">
        <f t="shared" si="68"/>
        <v>-131402.62892080983</v>
      </c>
      <c r="R89" s="51">
        <f t="shared" si="68"/>
        <v>-333442.58644070767</v>
      </c>
      <c r="S89" s="51">
        <f t="shared" si="68"/>
        <v>-249926.96031841147</v>
      </c>
      <c r="T89" s="51">
        <f t="shared" si="68"/>
        <v>-249926.96031841147</v>
      </c>
      <c r="U89" s="51">
        <f t="shared" si="68"/>
        <v>-249926.96031841147</v>
      </c>
      <c r="V89" s="51">
        <f t="shared" si="68"/>
        <v>-249926.96031841147</v>
      </c>
      <c r="W89" s="51">
        <f t="shared" si="68"/>
        <v>-249926.96031841147</v>
      </c>
      <c r="X89" s="51">
        <f t="shared" si="68"/>
        <v>-249926.96031841147</v>
      </c>
      <c r="Y89" s="51">
        <f t="shared" si="68"/>
        <v>-249926.96031841147</v>
      </c>
      <c r="Z89" s="51">
        <f t="shared" si="68"/>
        <v>-266344.78992486169</v>
      </c>
      <c r="AA89" s="278">
        <f t="shared" si="68"/>
        <v>-574597.37308389018</v>
      </c>
      <c r="AB89" s="51">
        <f t="shared" si="68"/>
        <v>-284928.99980824918</v>
      </c>
      <c r="AC89" s="51">
        <f t="shared" si="68"/>
        <v>-131402.62892080983</v>
      </c>
      <c r="AD89" s="51">
        <f t="shared" si="68"/>
        <v>-333442.58644070767</v>
      </c>
      <c r="AE89" s="51">
        <f t="shared" si="68"/>
        <v>-249926.96031841147</v>
      </c>
      <c r="AF89" s="51">
        <f t="shared" si="68"/>
        <v>-249926.96031841147</v>
      </c>
      <c r="AG89" s="51">
        <f t="shared" si="68"/>
        <v>-249926.96031841147</v>
      </c>
      <c r="AH89" s="51">
        <f t="shared" si="68"/>
        <v>-249926.96031841147</v>
      </c>
      <c r="AI89" s="51">
        <f t="shared" si="68"/>
        <v>-249926.96031841147</v>
      </c>
      <c r="AJ89" s="51">
        <f t="shared" si="68"/>
        <v>-249926.96031841147</v>
      </c>
      <c r="AK89" s="51">
        <f t="shared" si="68"/>
        <v>-249926.96031841147</v>
      </c>
      <c r="AL89" s="51">
        <f t="shared" si="68"/>
        <v>-266344.78992486169</v>
      </c>
      <c r="AM89" s="51">
        <f t="shared" si="68"/>
        <v>-574597.37308389018</v>
      </c>
      <c r="AN89" s="72"/>
      <c r="AO89" s="9"/>
      <c r="AP89" s="9"/>
      <c r="AQ89" s="9"/>
      <c r="AR89" s="9"/>
      <c r="AS89" s="9"/>
      <c r="AT89" s="9"/>
      <c r="AU89" s="9"/>
      <c r="AV89" s="9"/>
      <c r="AW89" s="9"/>
      <c r="AX89" s="9"/>
    </row>
    <row r="90" spans="1:50" ht="15.75" customHeight="1" outlineLevel="1" x14ac:dyDescent="0.2">
      <c r="A90" s="16"/>
      <c r="B90" s="81" t="s">
        <v>51</v>
      </c>
      <c r="C90" s="50">
        <f t="shared" si="67"/>
        <v>63</v>
      </c>
      <c r="D90" s="279">
        <f t="shared" ref="D90:AM90" si="69">-$C90*D61</f>
        <v>0</v>
      </c>
      <c r="E90" s="279">
        <f t="shared" si="69"/>
        <v>0</v>
      </c>
      <c r="F90" s="279">
        <f t="shared" si="69"/>
        <v>0</v>
      </c>
      <c r="G90" s="51">
        <f t="shared" si="69"/>
        <v>0</v>
      </c>
      <c r="H90" s="51">
        <f t="shared" si="69"/>
        <v>-155084.2969433055</v>
      </c>
      <c r="I90" s="51">
        <f t="shared" si="69"/>
        <v>-155084.2969433055</v>
      </c>
      <c r="J90" s="51">
        <f t="shared" si="69"/>
        <v>-155084.2969433055</v>
      </c>
      <c r="K90" s="51">
        <f t="shared" si="69"/>
        <v>-155084.2969433055</v>
      </c>
      <c r="L90" s="51">
        <f t="shared" si="69"/>
        <v>-155084.2969433055</v>
      </c>
      <c r="M90" s="51">
        <f t="shared" si="69"/>
        <v>-155084.2969433055</v>
      </c>
      <c r="N90" s="51">
        <f t="shared" si="69"/>
        <v>-165271.86357720318</v>
      </c>
      <c r="O90" s="278">
        <f t="shared" si="69"/>
        <v>-356548.28721421759</v>
      </c>
      <c r="P90" s="51">
        <f t="shared" si="69"/>
        <v>-176803.70920258155</v>
      </c>
      <c r="Q90" s="51">
        <f t="shared" si="69"/>
        <v>-81537.759258638209</v>
      </c>
      <c r="R90" s="51">
        <f t="shared" si="69"/>
        <v>-206907.28612564597</v>
      </c>
      <c r="S90" s="51">
        <f t="shared" si="69"/>
        <v>-155084.2969433055</v>
      </c>
      <c r="T90" s="51">
        <f t="shared" si="69"/>
        <v>-155084.2969433055</v>
      </c>
      <c r="U90" s="51">
        <f t="shared" si="69"/>
        <v>-155084.2969433055</v>
      </c>
      <c r="V90" s="51">
        <f t="shared" si="69"/>
        <v>-155084.2969433055</v>
      </c>
      <c r="W90" s="51">
        <f t="shared" si="69"/>
        <v>-155084.2969433055</v>
      </c>
      <c r="X90" s="51">
        <f t="shared" si="69"/>
        <v>-155084.2969433055</v>
      </c>
      <c r="Y90" s="51">
        <f t="shared" si="69"/>
        <v>-155084.2969433055</v>
      </c>
      <c r="Z90" s="51">
        <f t="shared" si="69"/>
        <v>-165271.86357720318</v>
      </c>
      <c r="AA90" s="278">
        <f t="shared" si="69"/>
        <v>-356548.28721421759</v>
      </c>
      <c r="AB90" s="51">
        <f t="shared" si="69"/>
        <v>-176803.70920258155</v>
      </c>
      <c r="AC90" s="51">
        <f t="shared" si="69"/>
        <v>-81537.759258638209</v>
      </c>
      <c r="AD90" s="51">
        <f t="shared" si="69"/>
        <v>-206907.28612564597</v>
      </c>
      <c r="AE90" s="51">
        <f t="shared" si="69"/>
        <v>-155084.2969433055</v>
      </c>
      <c r="AF90" s="51">
        <f t="shared" si="69"/>
        <v>-155084.2969433055</v>
      </c>
      <c r="AG90" s="51">
        <f t="shared" si="69"/>
        <v>-155084.2969433055</v>
      </c>
      <c r="AH90" s="51">
        <f t="shared" si="69"/>
        <v>-155084.2969433055</v>
      </c>
      <c r="AI90" s="51">
        <f t="shared" si="69"/>
        <v>-155084.2969433055</v>
      </c>
      <c r="AJ90" s="51">
        <f t="shared" si="69"/>
        <v>-155084.2969433055</v>
      </c>
      <c r="AK90" s="51">
        <f t="shared" si="69"/>
        <v>-155084.2969433055</v>
      </c>
      <c r="AL90" s="51">
        <f t="shared" si="69"/>
        <v>-165271.86357720318</v>
      </c>
      <c r="AM90" s="51">
        <f t="shared" si="69"/>
        <v>-356548.28721421759</v>
      </c>
      <c r="AN90" s="72"/>
      <c r="AO90" s="9"/>
      <c r="AP90" s="9"/>
      <c r="AQ90" s="9"/>
      <c r="AR90" s="9"/>
      <c r="AS90" s="9"/>
      <c r="AT90" s="9"/>
      <c r="AU90" s="9"/>
      <c r="AV90" s="9"/>
      <c r="AW90" s="9"/>
      <c r="AX90" s="9"/>
    </row>
    <row r="91" spans="1:50" ht="15.75" customHeight="1" outlineLevel="1" x14ac:dyDescent="0.2">
      <c r="A91" s="16"/>
      <c r="B91" s="46" t="s">
        <v>253</v>
      </c>
      <c r="C91" s="50">
        <f t="shared" si="67"/>
        <v>75.8</v>
      </c>
      <c r="D91" s="279">
        <f t="shared" ref="D91:AM91" si="70">-$C91*D61</f>
        <v>0</v>
      </c>
      <c r="E91" s="279">
        <f t="shared" si="70"/>
        <v>0</v>
      </c>
      <c r="F91" s="279">
        <f t="shared" si="70"/>
        <v>0</v>
      </c>
      <c r="G91" s="51">
        <f t="shared" si="70"/>
        <v>0</v>
      </c>
      <c r="H91" s="51">
        <f t="shared" si="70"/>
        <v>-186593.48743337393</v>
      </c>
      <c r="I91" s="51">
        <f t="shared" si="70"/>
        <v>-186593.48743337393</v>
      </c>
      <c r="J91" s="51">
        <f t="shared" si="70"/>
        <v>-186593.48743337393</v>
      </c>
      <c r="K91" s="51">
        <f t="shared" si="70"/>
        <v>-186593.48743337393</v>
      </c>
      <c r="L91" s="51">
        <f t="shared" si="70"/>
        <v>-186593.48743337393</v>
      </c>
      <c r="M91" s="51">
        <f t="shared" si="70"/>
        <v>-186593.48743337393</v>
      </c>
      <c r="N91" s="51">
        <f t="shared" si="70"/>
        <v>-198850.90887542858</v>
      </c>
      <c r="O91" s="278">
        <f t="shared" si="70"/>
        <v>-428989.84398155072</v>
      </c>
      <c r="P91" s="51">
        <f t="shared" si="70"/>
        <v>-212725.73265961398</v>
      </c>
      <c r="Q91" s="51">
        <f t="shared" si="70"/>
        <v>-98104.161139758347</v>
      </c>
      <c r="R91" s="51">
        <f t="shared" si="70"/>
        <v>-248945.59187815816</v>
      </c>
      <c r="S91" s="51">
        <f t="shared" si="70"/>
        <v>-186593.48743337393</v>
      </c>
      <c r="T91" s="51">
        <f t="shared" si="70"/>
        <v>-186593.48743337393</v>
      </c>
      <c r="U91" s="51">
        <f t="shared" si="70"/>
        <v>-186593.48743337393</v>
      </c>
      <c r="V91" s="51">
        <f t="shared" si="70"/>
        <v>-186593.48743337393</v>
      </c>
      <c r="W91" s="51">
        <f t="shared" si="70"/>
        <v>-186593.48743337393</v>
      </c>
      <c r="X91" s="51">
        <f t="shared" si="70"/>
        <v>-186593.48743337393</v>
      </c>
      <c r="Y91" s="51">
        <f t="shared" si="70"/>
        <v>-186593.48743337393</v>
      </c>
      <c r="Z91" s="51">
        <f t="shared" si="70"/>
        <v>-198850.90887542858</v>
      </c>
      <c r="AA91" s="278">
        <f t="shared" si="70"/>
        <v>-428989.84398155072</v>
      </c>
      <c r="AB91" s="51">
        <f t="shared" si="70"/>
        <v>-212725.73265961398</v>
      </c>
      <c r="AC91" s="51">
        <f t="shared" si="70"/>
        <v>-98104.161139758347</v>
      </c>
      <c r="AD91" s="51">
        <f t="shared" si="70"/>
        <v>-248945.59187815816</v>
      </c>
      <c r="AE91" s="51">
        <f t="shared" si="70"/>
        <v>-186593.48743337393</v>
      </c>
      <c r="AF91" s="51">
        <f t="shared" si="70"/>
        <v>-186593.48743337393</v>
      </c>
      <c r="AG91" s="51">
        <f t="shared" si="70"/>
        <v>-186593.48743337393</v>
      </c>
      <c r="AH91" s="51">
        <f t="shared" si="70"/>
        <v>-186593.48743337393</v>
      </c>
      <c r="AI91" s="51">
        <f t="shared" si="70"/>
        <v>-186593.48743337393</v>
      </c>
      <c r="AJ91" s="51">
        <f t="shared" si="70"/>
        <v>-186593.48743337393</v>
      </c>
      <c r="AK91" s="51">
        <f t="shared" si="70"/>
        <v>-186593.48743337393</v>
      </c>
      <c r="AL91" s="51">
        <f t="shared" si="70"/>
        <v>-198850.90887542858</v>
      </c>
      <c r="AM91" s="51">
        <f t="shared" si="70"/>
        <v>-428989.84398155072</v>
      </c>
      <c r="AN91" s="72"/>
      <c r="AO91" s="9"/>
      <c r="AP91" s="9"/>
      <c r="AQ91" s="9"/>
      <c r="AR91" s="9"/>
      <c r="AS91" s="9"/>
      <c r="AT91" s="9"/>
      <c r="AU91" s="9"/>
      <c r="AV91" s="9"/>
      <c r="AW91" s="9"/>
      <c r="AX91" s="9"/>
    </row>
    <row r="92" spans="1:50" ht="15.75" customHeight="1" outlineLevel="1" x14ac:dyDescent="0.2">
      <c r="A92" s="16"/>
      <c r="B92" s="83" t="s">
        <v>245</v>
      </c>
      <c r="C92" s="55">
        <f t="shared" si="67"/>
        <v>0</v>
      </c>
      <c r="D92" s="279">
        <f t="shared" ref="D92:AM92" si="71">-$C92*D52</f>
        <v>0</v>
      </c>
      <c r="E92" s="279">
        <f t="shared" si="71"/>
        <v>0</v>
      </c>
      <c r="F92" s="279">
        <f t="shared" si="71"/>
        <v>0</v>
      </c>
      <c r="G92" s="51">
        <f t="shared" si="71"/>
        <v>0</v>
      </c>
      <c r="H92" s="51">
        <f t="shared" si="71"/>
        <v>0</v>
      </c>
      <c r="I92" s="51">
        <f t="shared" si="71"/>
        <v>0</v>
      </c>
      <c r="J92" s="51">
        <f t="shared" si="71"/>
        <v>0</v>
      </c>
      <c r="K92" s="51">
        <f t="shared" si="71"/>
        <v>0</v>
      </c>
      <c r="L92" s="51">
        <f t="shared" si="71"/>
        <v>0</v>
      </c>
      <c r="M92" s="51">
        <f t="shared" si="71"/>
        <v>0</v>
      </c>
      <c r="N92" s="51">
        <f t="shared" si="71"/>
        <v>0</v>
      </c>
      <c r="O92" s="278">
        <f t="shared" si="71"/>
        <v>0</v>
      </c>
      <c r="P92" s="51">
        <f t="shared" si="71"/>
        <v>0</v>
      </c>
      <c r="Q92" s="51">
        <f t="shared" si="71"/>
        <v>0</v>
      </c>
      <c r="R92" s="51">
        <f t="shared" si="71"/>
        <v>0</v>
      </c>
      <c r="S92" s="51">
        <f t="shared" si="71"/>
        <v>0</v>
      </c>
      <c r="T92" s="51">
        <f t="shared" si="71"/>
        <v>0</v>
      </c>
      <c r="U92" s="51">
        <f t="shared" si="71"/>
        <v>0</v>
      </c>
      <c r="V92" s="51">
        <f t="shared" si="71"/>
        <v>0</v>
      </c>
      <c r="W92" s="51">
        <f t="shared" si="71"/>
        <v>0</v>
      </c>
      <c r="X92" s="51">
        <f t="shared" si="71"/>
        <v>0</v>
      </c>
      <c r="Y92" s="51">
        <f t="shared" si="71"/>
        <v>0</v>
      </c>
      <c r="Z92" s="51">
        <f t="shared" si="71"/>
        <v>0</v>
      </c>
      <c r="AA92" s="278">
        <f t="shared" si="71"/>
        <v>0</v>
      </c>
      <c r="AB92" s="51">
        <f t="shared" si="71"/>
        <v>0</v>
      </c>
      <c r="AC92" s="51">
        <f t="shared" si="71"/>
        <v>0</v>
      </c>
      <c r="AD92" s="51">
        <f t="shared" si="71"/>
        <v>0</v>
      </c>
      <c r="AE92" s="51">
        <f t="shared" si="71"/>
        <v>0</v>
      </c>
      <c r="AF92" s="51">
        <f t="shared" si="71"/>
        <v>0</v>
      </c>
      <c r="AG92" s="51">
        <f t="shared" si="71"/>
        <v>0</v>
      </c>
      <c r="AH92" s="51">
        <f t="shared" si="71"/>
        <v>0</v>
      </c>
      <c r="AI92" s="51">
        <f t="shared" si="71"/>
        <v>0</v>
      </c>
      <c r="AJ92" s="51">
        <f t="shared" si="71"/>
        <v>0</v>
      </c>
      <c r="AK92" s="51">
        <f t="shared" si="71"/>
        <v>0</v>
      </c>
      <c r="AL92" s="51">
        <f t="shared" si="71"/>
        <v>0</v>
      </c>
      <c r="AM92" s="51">
        <f t="shared" si="71"/>
        <v>0</v>
      </c>
      <c r="AN92" s="72"/>
      <c r="AO92" s="9"/>
      <c r="AP92" s="9"/>
      <c r="AQ92" s="9"/>
      <c r="AR92" s="9"/>
      <c r="AS92" s="9"/>
      <c r="AT92" s="9"/>
      <c r="AU92" s="9"/>
      <c r="AV92" s="9"/>
      <c r="AW92" s="9"/>
      <c r="AX92" s="9"/>
    </row>
    <row r="93" spans="1:50" ht="15.75" customHeight="1" outlineLevel="1" x14ac:dyDescent="0.2">
      <c r="A93" s="16"/>
      <c r="B93" s="46" t="s">
        <v>246</v>
      </c>
      <c r="C93" s="50">
        <f t="shared" si="67"/>
        <v>2</v>
      </c>
      <c r="D93" s="279">
        <f t="shared" ref="D93:AM93" si="72">-$C93*D61</f>
        <v>0</v>
      </c>
      <c r="E93" s="279">
        <f t="shared" si="72"/>
        <v>0</v>
      </c>
      <c r="F93" s="279">
        <f t="shared" si="72"/>
        <v>0</v>
      </c>
      <c r="G93" s="51">
        <f t="shared" si="72"/>
        <v>0</v>
      </c>
      <c r="H93" s="51">
        <f t="shared" si="72"/>
        <v>-4923.3110140731906</v>
      </c>
      <c r="I93" s="51">
        <f t="shared" si="72"/>
        <v>-4923.3110140731906</v>
      </c>
      <c r="J93" s="51">
        <f t="shared" si="72"/>
        <v>-4923.3110140731906</v>
      </c>
      <c r="K93" s="51">
        <f t="shared" si="72"/>
        <v>-4923.3110140731906</v>
      </c>
      <c r="L93" s="51">
        <f t="shared" si="72"/>
        <v>-4923.3110140731906</v>
      </c>
      <c r="M93" s="51">
        <f t="shared" si="72"/>
        <v>-4923.3110140731906</v>
      </c>
      <c r="N93" s="51">
        <f t="shared" si="72"/>
        <v>-5246.7258278477202</v>
      </c>
      <c r="O93" s="278">
        <f t="shared" si="72"/>
        <v>-11318.993244895797</v>
      </c>
      <c r="P93" s="51">
        <f t="shared" si="72"/>
        <v>-5612.8161651613191</v>
      </c>
      <c r="Q93" s="51">
        <f t="shared" si="72"/>
        <v>-2588.5002939250226</v>
      </c>
      <c r="R93" s="51">
        <f t="shared" si="72"/>
        <v>-6568.4852738300306</v>
      </c>
      <c r="S93" s="51">
        <f t="shared" si="72"/>
        <v>-4923.3110140731906</v>
      </c>
      <c r="T93" s="51">
        <f t="shared" si="72"/>
        <v>-4923.3110140731906</v>
      </c>
      <c r="U93" s="51">
        <f t="shared" si="72"/>
        <v>-4923.3110140731906</v>
      </c>
      <c r="V93" s="51">
        <f t="shared" si="72"/>
        <v>-4923.3110140731906</v>
      </c>
      <c r="W93" s="51">
        <f t="shared" si="72"/>
        <v>-4923.3110140731906</v>
      </c>
      <c r="X93" s="51">
        <f t="shared" si="72"/>
        <v>-4923.3110140731906</v>
      </c>
      <c r="Y93" s="51">
        <f t="shared" si="72"/>
        <v>-4923.3110140731906</v>
      </c>
      <c r="Z93" s="51">
        <f t="shared" si="72"/>
        <v>-5246.7258278477202</v>
      </c>
      <c r="AA93" s="278">
        <f t="shared" si="72"/>
        <v>-11318.993244895797</v>
      </c>
      <c r="AB93" s="51">
        <f t="shared" si="72"/>
        <v>-5612.8161651613191</v>
      </c>
      <c r="AC93" s="51">
        <f t="shared" si="72"/>
        <v>-2588.5002939250226</v>
      </c>
      <c r="AD93" s="51">
        <f t="shared" si="72"/>
        <v>-6568.4852738300306</v>
      </c>
      <c r="AE93" s="51">
        <f t="shared" si="72"/>
        <v>-4923.3110140731906</v>
      </c>
      <c r="AF93" s="51">
        <f t="shared" si="72"/>
        <v>-4923.3110140731906</v>
      </c>
      <c r="AG93" s="51">
        <f t="shared" si="72"/>
        <v>-4923.3110140731906</v>
      </c>
      <c r="AH93" s="51">
        <f t="shared" si="72"/>
        <v>-4923.3110140731906</v>
      </c>
      <c r="AI93" s="51">
        <f t="shared" si="72"/>
        <v>-4923.3110140731906</v>
      </c>
      <c r="AJ93" s="51">
        <f t="shared" si="72"/>
        <v>-4923.3110140731906</v>
      </c>
      <c r="AK93" s="51">
        <f t="shared" si="72"/>
        <v>-4923.3110140731906</v>
      </c>
      <c r="AL93" s="51">
        <f t="shared" si="72"/>
        <v>-5246.7258278477202</v>
      </c>
      <c r="AM93" s="51">
        <f t="shared" si="72"/>
        <v>-11318.993244895797</v>
      </c>
      <c r="AN93" s="72"/>
      <c r="AO93" s="9"/>
      <c r="AP93" s="9"/>
      <c r="AQ93" s="9"/>
      <c r="AR93" s="9"/>
      <c r="AS93" s="9"/>
      <c r="AT93" s="9"/>
      <c r="AU93" s="9"/>
      <c r="AV93" s="9"/>
      <c r="AW93" s="9"/>
      <c r="AX93" s="9"/>
    </row>
    <row r="94" spans="1:50" ht="15.75" customHeight="1" outlineLevel="1" x14ac:dyDescent="0.2">
      <c r="A94" s="16"/>
      <c r="B94" s="46" t="s">
        <v>54</v>
      </c>
      <c r="C94" s="50">
        <f t="shared" si="67"/>
        <v>5</v>
      </c>
      <c r="D94" s="279">
        <f t="shared" ref="D94:AM94" si="73">-$C94*D61</f>
        <v>0</v>
      </c>
      <c r="E94" s="279">
        <f t="shared" si="73"/>
        <v>0</v>
      </c>
      <c r="F94" s="279">
        <f t="shared" si="73"/>
        <v>0</v>
      </c>
      <c r="G94" s="51">
        <f t="shared" si="73"/>
        <v>0</v>
      </c>
      <c r="H94" s="51">
        <f t="shared" si="73"/>
        <v>-12308.277535182977</v>
      </c>
      <c r="I94" s="51">
        <f t="shared" si="73"/>
        <v>-12308.277535182977</v>
      </c>
      <c r="J94" s="51">
        <f t="shared" si="73"/>
        <v>-12308.277535182977</v>
      </c>
      <c r="K94" s="51">
        <f t="shared" si="73"/>
        <v>-12308.277535182977</v>
      </c>
      <c r="L94" s="51">
        <f t="shared" si="73"/>
        <v>-12308.277535182977</v>
      </c>
      <c r="M94" s="51">
        <f t="shared" si="73"/>
        <v>-12308.277535182977</v>
      </c>
      <c r="N94" s="51">
        <f t="shared" si="73"/>
        <v>-13116.814569619301</v>
      </c>
      <c r="O94" s="278">
        <f t="shared" si="73"/>
        <v>-28297.483112239493</v>
      </c>
      <c r="P94" s="51">
        <f t="shared" si="73"/>
        <v>-14032.040412903298</v>
      </c>
      <c r="Q94" s="51">
        <f t="shared" si="73"/>
        <v>-6471.2507348125564</v>
      </c>
      <c r="R94" s="51">
        <f t="shared" si="73"/>
        <v>-16421.213184575077</v>
      </c>
      <c r="S94" s="51">
        <f t="shared" si="73"/>
        <v>-12308.277535182977</v>
      </c>
      <c r="T94" s="51">
        <f t="shared" si="73"/>
        <v>-12308.277535182977</v>
      </c>
      <c r="U94" s="51">
        <f t="shared" si="73"/>
        <v>-12308.277535182977</v>
      </c>
      <c r="V94" s="51">
        <f t="shared" si="73"/>
        <v>-12308.277535182977</v>
      </c>
      <c r="W94" s="51">
        <f t="shared" si="73"/>
        <v>-12308.277535182977</v>
      </c>
      <c r="X94" s="51">
        <f t="shared" si="73"/>
        <v>-12308.277535182977</v>
      </c>
      <c r="Y94" s="51">
        <f t="shared" si="73"/>
        <v>-12308.277535182977</v>
      </c>
      <c r="Z94" s="51">
        <f t="shared" si="73"/>
        <v>-13116.814569619301</v>
      </c>
      <c r="AA94" s="278">
        <f t="shared" si="73"/>
        <v>-28297.483112239493</v>
      </c>
      <c r="AB94" s="51">
        <f t="shared" si="73"/>
        <v>-14032.040412903298</v>
      </c>
      <c r="AC94" s="51">
        <f t="shared" si="73"/>
        <v>-6471.2507348125564</v>
      </c>
      <c r="AD94" s="51">
        <f t="shared" si="73"/>
        <v>-16421.213184575077</v>
      </c>
      <c r="AE94" s="51">
        <f t="shared" si="73"/>
        <v>-12308.277535182977</v>
      </c>
      <c r="AF94" s="51">
        <f t="shared" si="73"/>
        <v>-12308.277535182977</v>
      </c>
      <c r="AG94" s="51">
        <f t="shared" si="73"/>
        <v>-12308.277535182977</v>
      </c>
      <c r="AH94" s="51">
        <f t="shared" si="73"/>
        <v>-12308.277535182977</v>
      </c>
      <c r="AI94" s="51">
        <f t="shared" si="73"/>
        <v>-12308.277535182977</v>
      </c>
      <c r="AJ94" s="51">
        <f t="shared" si="73"/>
        <v>-12308.277535182977</v>
      </c>
      <c r="AK94" s="51">
        <f t="shared" si="73"/>
        <v>-12308.277535182977</v>
      </c>
      <c r="AL94" s="51">
        <f t="shared" si="73"/>
        <v>-13116.814569619301</v>
      </c>
      <c r="AM94" s="51">
        <f t="shared" si="73"/>
        <v>-28297.483112239493</v>
      </c>
      <c r="AN94" s="72"/>
      <c r="AO94" s="9"/>
      <c r="AP94" s="9"/>
      <c r="AQ94" s="9"/>
      <c r="AR94" s="9"/>
      <c r="AS94" s="9"/>
      <c r="AT94" s="9"/>
      <c r="AU94" s="9"/>
      <c r="AV94" s="9"/>
      <c r="AW94" s="9"/>
      <c r="AX94" s="9"/>
    </row>
    <row r="95" spans="1:50" ht="18.75" customHeight="1" x14ac:dyDescent="0.2">
      <c r="A95" s="48"/>
      <c r="B95" s="92"/>
      <c r="C95" s="92"/>
      <c r="D95" s="93"/>
      <c r="E95" s="93"/>
      <c r="F95" s="93"/>
      <c r="G95" s="93"/>
      <c r="H95" s="93"/>
      <c r="I95" s="93"/>
      <c r="J95" s="93"/>
      <c r="K95" s="93"/>
      <c r="L95" s="93"/>
      <c r="M95" s="93"/>
      <c r="N95" s="93"/>
      <c r="O95" s="299"/>
      <c r="P95" s="93"/>
      <c r="Q95" s="93"/>
      <c r="R95" s="93"/>
      <c r="S95" s="93"/>
      <c r="T95" s="93"/>
      <c r="U95" s="93"/>
      <c r="V95" s="93"/>
      <c r="W95" s="93"/>
      <c r="X95" s="93"/>
      <c r="Y95" s="93"/>
      <c r="Z95" s="93"/>
      <c r="AA95" s="299"/>
      <c r="AB95" s="93"/>
      <c r="AC95" s="93"/>
      <c r="AD95" s="93"/>
      <c r="AE95" s="93"/>
      <c r="AF95" s="93"/>
      <c r="AG95" s="93"/>
      <c r="AH95" s="93"/>
      <c r="AI95" s="93"/>
      <c r="AJ95" s="93"/>
      <c r="AK95" s="93"/>
      <c r="AL95" s="93"/>
      <c r="AM95" s="93"/>
      <c r="AN95" s="300"/>
      <c r="AO95" s="9"/>
      <c r="AP95" s="9"/>
      <c r="AQ95" s="9"/>
      <c r="AR95" s="9"/>
      <c r="AS95" s="9"/>
      <c r="AT95" s="9"/>
      <c r="AU95" s="9"/>
      <c r="AV95" s="9"/>
      <c r="AW95" s="9"/>
      <c r="AX95" s="9"/>
    </row>
    <row r="96" spans="1:50" ht="18.75" customHeight="1" x14ac:dyDescent="0.2">
      <c r="A96" s="48"/>
      <c r="B96" s="94" t="s">
        <v>59</v>
      </c>
      <c r="C96" s="95"/>
      <c r="D96" s="96">
        <f t="shared" ref="D96:AM96" si="74">D15+D66</f>
        <v>1051167.0720000002</v>
      </c>
      <c r="E96" s="96">
        <f t="shared" si="74"/>
        <v>653812.28480000014</v>
      </c>
      <c r="F96" s="96">
        <f t="shared" si="74"/>
        <v>1440290.6008000001</v>
      </c>
      <c r="G96" s="96">
        <f t="shared" si="74"/>
        <v>1054698.4488000001</v>
      </c>
      <c r="H96" s="96">
        <f t="shared" si="74"/>
        <v>1652073.3140035844</v>
      </c>
      <c r="I96" s="96">
        <f t="shared" si="74"/>
        <v>1652073.3140035844</v>
      </c>
      <c r="J96" s="96">
        <f t="shared" si="74"/>
        <v>1652073.3140035844</v>
      </c>
      <c r="K96" s="96">
        <f t="shared" si="74"/>
        <v>1652073.3140035844</v>
      </c>
      <c r="L96" s="96">
        <f t="shared" si="74"/>
        <v>1652073.3140035844</v>
      </c>
      <c r="M96" s="96">
        <f t="shared" si="74"/>
        <v>1652073.3140035844</v>
      </c>
      <c r="N96" s="96">
        <f t="shared" si="74"/>
        <v>1750732.3666477313</v>
      </c>
      <c r="O96" s="301">
        <f t="shared" si="74"/>
        <v>3425547.6283626761</v>
      </c>
      <c r="P96" s="96">
        <f t="shared" si="74"/>
        <v>1829955.304616014</v>
      </c>
      <c r="Q96" s="96">
        <f t="shared" si="74"/>
        <v>1037073.1988636865</v>
      </c>
      <c r="R96" s="96">
        <f t="shared" si="74"/>
        <v>2208572.7979854406</v>
      </c>
      <c r="S96" s="96">
        <f t="shared" si="74"/>
        <v>1652073.3140035844</v>
      </c>
      <c r="T96" s="96">
        <f t="shared" si="74"/>
        <v>1652073.3140035844</v>
      </c>
      <c r="U96" s="96">
        <f t="shared" si="74"/>
        <v>1652073.3140035844</v>
      </c>
      <c r="V96" s="96">
        <f t="shared" si="74"/>
        <v>1652073.3140035844</v>
      </c>
      <c r="W96" s="96">
        <f t="shared" si="74"/>
        <v>1652073.3140035844</v>
      </c>
      <c r="X96" s="96">
        <f t="shared" si="74"/>
        <v>1652073.3140035844</v>
      </c>
      <c r="Y96" s="96">
        <f t="shared" si="74"/>
        <v>1652073.3140035844</v>
      </c>
      <c r="Z96" s="96">
        <f t="shared" si="74"/>
        <v>1750732.3666477313</v>
      </c>
      <c r="AA96" s="301">
        <f t="shared" si="74"/>
        <v>3425547.6283626761</v>
      </c>
      <c r="AB96" s="96">
        <f t="shared" si="74"/>
        <v>1829955.304616014</v>
      </c>
      <c r="AC96" s="96">
        <f t="shared" si="74"/>
        <v>1037073.1988636865</v>
      </c>
      <c r="AD96" s="96">
        <f t="shared" si="74"/>
        <v>2208572.7979854406</v>
      </c>
      <c r="AE96" s="96">
        <f t="shared" si="74"/>
        <v>1652073.3140035844</v>
      </c>
      <c r="AF96" s="96">
        <f t="shared" si="74"/>
        <v>1652073.3140035844</v>
      </c>
      <c r="AG96" s="96">
        <f t="shared" si="74"/>
        <v>1652073.3140035844</v>
      </c>
      <c r="AH96" s="96">
        <f t="shared" si="74"/>
        <v>1652073.3140035844</v>
      </c>
      <c r="AI96" s="96">
        <f t="shared" si="74"/>
        <v>1652073.3140035844</v>
      </c>
      <c r="AJ96" s="96">
        <f t="shared" si="74"/>
        <v>1652073.3140035844</v>
      </c>
      <c r="AK96" s="96">
        <f t="shared" si="74"/>
        <v>1652073.3140035844</v>
      </c>
      <c r="AL96" s="96">
        <f t="shared" si="74"/>
        <v>1750732.3666477313</v>
      </c>
      <c r="AM96" s="96">
        <f t="shared" si="74"/>
        <v>3425547.6283626761</v>
      </c>
      <c r="AN96" s="302">
        <f>SUM(D96:O96)</f>
        <v>19288688.285431918</v>
      </c>
      <c r="AO96" s="9"/>
      <c r="AP96" s="9"/>
      <c r="AQ96" s="9"/>
      <c r="AR96" s="9"/>
      <c r="AS96" s="9"/>
      <c r="AT96" s="9"/>
      <c r="AU96" s="9"/>
      <c r="AV96" s="9"/>
      <c r="AW96" s="9"/>
      <c r="AX96" s="9"/>
    </row>
    <row r="97" spans="1:50" ht="28.5" customHeight="1" x14ac:dyDescent="0.2">
      <c r="A97" s="48"/>
      <c r="B97" s="97" t="s">
        <v>60</v>
      </c>
      <c r="C97" s="92"/>
      <c r="D97" s="98">
        <f t="shared" ref="D97:AM97" si="75">IFERROR(D96/D15,0)</f>
        <v>0.45534833245974649</v>
      </c>
      <c r="E97" s="98">
        <f t="shared" si="75"/>
        <v>0.42208233149302532</v>
      </c>
      <c r="F97" s="98">
        <f t="shared" si="75"/>
        <v>0.42434988154482872</v>
      </c>
      <c r="G97" s="98">
        <f t="shared" si="75"/>
        <v>0.43963702226866713</v>
      </c>
      <c r="H97" s="98">
        <f t="shared" si="75"/>
        <v>0.45824324844175346</v>
      </c>
      <c r="I97" s="98">
        <f t="shared" si="75"/>
        <v>0.45824324844175346</v>
      </c>
      <c r="J97" s="98">
        <f t="shared" si="75"/>
        <v>0.45824324844175346</v>
      </c>
      <c r="K97" s="98">
        <f t="shared" si="75"/>
        <v>0.45824324844175346</v>
      </c>
      <c r="L97" s="98">
        <f t="shared" si="75"/>
        <v>0.45824324844175346</v>
      </c>
      <c r="M97" s="98">
        <f t="shared" si="75"/>
        <v>0.45824324844175346</v>
      </c>
      <c r="N97" s="98">
        <f t="shared" si="75"/>
        <v>0.46041979185149962</v>
      </c>
      <c r="O97" s="303">
        <f t="shared" si="75"/>
        <v>0.47604930055921918</v>
      </c>
      <c r="P97" s="98">
        <f t="shared" si="75"/>
        <v>0.46234075014088499</v>
      </c>
      <c r="Q97" s="98">
        <f t="shared" si="75"/>
        <v>0.43586745582789133</v>
      </c>
      <c r="R97" s="98">
        <f t="shared" si="75"/>
        <v>0.45779934962659447</v>
      </c>
      <c r="S97" s="98">
        <f t="shared" si="75"/>
        <v>0.45824324844175346</v>
      </c>
      <c r="T97" s="98">
        <f t="shared" si="75"/>
        <v>0.45824324844175346</v>
      </c>
      <c r="U97" s="98">
        <f t="shared" si="75"/>
        <v>0.45824324844175346</v>
      </c>
      <c r="V97" s="98">
        <f t="shared" si="75"/>
        <v>0.45824324844175346</v>
      </c>
      <c r="W97" s="98">
        <f t="shared" si="75"/>
        <v>0.45824324844175346</v>
      </c>
      <c r="X97" s="98">
        <f t="shared" si="75"/>
        <v>0.45824324844175346</v>
      </c>
      <c r="Y97" s="98">
        <f t="shared" si="75"/>
        <v>0.45824324844175346</v>
      </c>
      <c r="Z97" s="98">
        <f t="shared" si="75"/>
        <v>0.46041979185149962</v>
      </c>
      <c r="AA97" s="303">
        <f t="shared" si="75"/>
        <v>0.47604930055921918</v>
      </c>
      <c r="AB97" s="98">
        <f t="shared" si="75"/>
        <v>0.46234075014088499</v>
      </c>
      <c r="AC97" s="98">
        <f t="shared" si="75"/>
        <v>0.43586745582789133</v>
      </c>
      <c r="AD97" s="98">
        <f t="shared" si="75"/>
        <v>0.45779934962659447</v>
      </c>
      <c r="AE97" s="98">
        <f t="shared" si="75"/>
        <v>0.45824324844175346</v>
      </c>
      <c r="AF97" s="98">
        <f t="shared" si="75"/>
        <v>0.45824324844175346</v>
      </c>
      <c r="AG97" s="98">
        <f t="shared" si="75"/>
        <v>0.45824324844175346</v>
      </c>
      <c r="AH97" s="98">
        <f t="shared" si="75"/>
        <v>0.45824324844175346</v>
      </c>
      <c r="AI97" s="98">
        <f t="shared" si="75"/>
        <v>0.45824324844175346</v>
      </c>
      <c r="AJ97" s="98">
        <f t="shared" si="75"/>
        <v>0.45824324844175346</v>
      </c>
      <c r="AK97" s="98">
        <f t="shared" si="75"/>
        <v>0.45824324844175346</v>
      </c>
      <c r="AL97" s="98">
        <f t="shared" si="75"/>
        <v>0.46041979185149962</v>
      </c>
      <c r="AM97" s="98">
        <f t="shared" si="75"/>
        <v>0.47604930055921918</v>
      </c>
      <c r="AN97" s="304">
        <f>AN96/AN15</f>
        <v>0.45620999422792752</v>
      </c>
      <c r="AO97" s="9"/>
      <c r="AP97" s="9"/>
      <c r="AQ97" s="9"/>
      <c r="AR97" s="9"/>
      <c r="AS97" s="9"/>
      <c r="AT97" s="9"/>
      <c r="AU97" s="9"/>
      <c r="AV97" s="9"/>
      <c r="AW97" s="9"/>
      <c r="AX97" s="9"/>
    </row>
    <row r="98" spans="1:50" ht="18.75" customHeight="1" x14ac:dyDescent="0.2">
      <c r="A98" s="48"/>
      <c r="B98" s="46" t="s">
        <v>254</v>
      </c>
      <c r="C98" s="92"/>
      <c r="D98" s="99">
        <f t="shared" ref="D98:AM98" si="76">D16+D67</f>
        <v>264035.48160000006</v>
      </c>
      <c r="E98" s="99">
        <f t="shared" si="76"/>
        <v>320262.26960000012</v>
      </c>
      <c r="F98" s="99">
        <f t="shared" si="76"/>
        <v>507745.53039999993</v>
      </c>
      <c r="G98" s="99">
        <f t="shared" si="76"/>
        <v>311070.70479999995</v>
      </c>
      <c r="H98" s="99">
        <f t="shared" si="76"/>
        <v>311070.70479999995</v>
      </c>
      <c r="I98" s="99">
        <f t="shared" si="76"/>
        <v>311070.70479999995</v>
      </c>
      <c r="J98" s="99">
        <f t="shared" si="76"/>
        <v>311070.70479999995</v>
      </c>
      <c r="K98" s="99">
        <f t="shared" si="76"/>
        <v>311070.70479999995</v>
      </c>
      <c r="L98" s="99">
        <f t="shared" si="76"/>
        <v>311070.70479999995</v>
      </c>
      <c r="M98" s="99">
        <f t="shared" si="76"/>
        <v>311070.70479999995</v>
      </c>
      <c r="N98" s="99">
        <f t="shared" si="76"/>
        <v>309249.64160000009</v>
      </c>
      <c r="O98" s="305">
        <f t="shared" si="76"/>
        <v>326135.86400000006</v>
      </c>
      <c r="P98" s="99">
        <f t="shared" si="76"/>
        <v>304117.55440000002</v>
      </c>
      <c r="Q98" s="99">
        <f t="shared" si="76"/>
        <v>327956.92720000003</v>
      </c>
      <c r="R98" s="99">
        <f t="shared" si="76"/>
        <v>421162.2527999999</v>
      </c>
      <c r="S98" s="99">
        <f t="shared" si="76"/>
        <v>311070.70479999995</v>
      </c>
      <c r="T98" s="99">
        <f t="shared" si="76"/>
        <v>311070.70479999995</v>
      </c>
      <c r="U98" s="99">
        <f t="shared" si="76"/>
        <v>311070.70479999995</v>
      </c>
      <c r="V98" s="99">
        <f t="shared" si="76"/>
        <v>311070.70479999995</v>
      </c>
      <c r="W98" s="99">
        <f t="shared" si="76"/>
        <v>311070.70479999995</v>
      </c>
      <c r="X98" s="99">
        <f t="shared" si="76"/>
        <v>311070.70479999995</v>
      </c>
      <c r="Y98" s="99">
        <f t="shared" si="76"/>
        <v>311070.70479999995</v>
      </c>
      <c r="Z98" s="99">
        <f t="shared" si="76"/>
        <v>309249.64160000009</v>
      </c>
      <c r="AA98" s="305">
        <f t="shared" si="76"/>
        <v>326135.86400000006</v>
      </c>
      <c r="AB98" s="99">
        <f t="shared" si="76"/>
        <v>304117.55440000002</v>
      </c>
      <c r="AC98" s="99">
        <f t="shared" si="76"/>
        <v>327956.92720000003</v>
      </c>
      <c r="AD98" s="99">
        <f t="shared" si="76"/>
        <v>421162.2527999999</v>
      </c>
      <c r="AE98" s="99">
        <f t="shared" si="76"/>
        <v>311070.70479999995</v>
      </c>
      <c r="AF98" s="99">
        <f t="shared" si="76"/>
        <v>311070.70479999995</v>
      </c>
      <c r="AG98" s="99">
        <f t="shared" si="76"/>
        <v>311070.70479999995</v>
      </c>
      <c r="AH98" s="99">
        <f t="shared" si="76"/>
        <v>311070.70479999995</v>
      </c>
      <c r="AI98" s="99">
        <f t="shared" si="76"/>
        <v>311070.70479999995</v>
      </c>
      <c r="AJ98" s="99">
        <f t="shared" si="76"/>
        <v>311070.70479999995</v>
      </c>
      <c r="AK98" s="99">
        <f t="shared" si="76"/>
        <v>311070.70479999995</v>
      </c>
      <c r="AL98" s="99">
        <f t="shared" si="76"/>
        <v>309249.64160000009</v>
      </c>
      <c r="AM98" s="99">
        <f t="shared" si="76"/>
        <v>326135.86400000006</v>
      </c>
      <c r="AN98" s="300"/>
      <c r="AO98" s="9"/>
      <c r="AP98" s="9"/>
      <c r="AQ98" s="9"/>
      <c r="AR98" s="9"/>
      <c r="AS98" s="9"/>
      <c r="AT98" s="9"/>
      <c r="AU98" s="9"/>
      <c r="AV98" s="9"/>
      <c r="AW98" s="9"/>
      <c r="AX98" s="9"/>
    </row>
    <row r="99" spans="1:50" ht="31.5" x14ac:dyDescent="0.2">
      <c r="A99" s="48"/>
      <c r="B99" s="100" t="s">
        <v>60</v>
      </c>
      <c r="C99" s="101"/>
      <c r="D99" s="102">
        <f t="shared" ref="D99:AM99" si="77">D98/D16</f>
        <v>0.35919676113360333</v>
      </c>
      <c r="E99" s="102">
        <f t="shared" si="77"/>
        <v>0.36181408450704239</v>
      </c>
      <c r="F99" s="102">
        <f t="shared" si="77"/>
        <v>0.34561837160751563</v>
      </c>
      <c r="G99" s="102">
        <f t="shared" si="77"/>
        <v>0.34561837160751557</v>
      </c>
      <c r="H99" s="102">
        <f t="shared" si="77"/>
        <v>0.34561837160751557</v>
      </c>
      <c r="I99" s="102">
        <f t="shared" si="77"/>
        <v>0.34561837160751557</v>
      </c>
      <c r="J99" s="102">
        <f t="shared" si="77"/>
        <v>0.34561837160751557</v>
      </c>
      <c r="K99" s="102">
        <f t="shared" si="77"/>
        <v>0.34561837160751557</v>
      </c>
      <c r="L99" s="102">
        <f t="shared" si="77"/>
        <v>0.34561837160751557</v>
      </c>
      <c r="M99" s="102">
        <f t="shared" si="77"/>
        <v>0.34561837160751557</v>
      </c>
      <c r="N99" s="102">
        <f t="shared" si="77"/>
        <v>0.34561837160751574</v>
      </c>
      <c r="O99" s="306">
        <f t="shared" si="77"/>
        <v>0.34561837160751574</v>
      </c>
      <c r="P99" s="102">
        <f t="shared" si="77"/>
        <v>0.34561837160751568</v>
      </c>
      <c r="Q99" s="102">
        <f t="shared" si="77"/>
        <v>0.34561837160751568</v>
      </c>
      <c r="R99" s="102">
        <f t="shared" si="77"/>
        <v>0.34561837160751557</v>
      </c>
      <c r="S99" s="102">
        <f t="shared" si="77"/>
        <v>0.34561837160751557</v>
      </c>
      <c r="T99" s="102">
        <f t="shared" si="77"/>
        <v>0.34561837160751557</v>
      </c>
      <c r="U99" s="102">
        <f t="shared" si="77"/>
        <v>0.34561837160751557</v>
      </c>
      <c r="V99" s="102">
        <f t="shared" si="77"/>
        <v>0.34561837160751557</v>
      </c>
      <c r="W99" s="102">
        <f t="shared" si="77"/>
        <v>0.34561837160751557</v>
      </c>
      <c r="X99" s="102">
        <f t="shared" si="77"/>
        <v>0.34561837160751557</v>
      </c>
      <c r="Y99" s="102">
        <f t="shared" si="77"/>
        <v>0.34561837160751557</v>
      </c>
      <c r="Z99" s="102">
        <f t="shared" si="77"/>
        <v>0.34561837160751574</v>
      </c>
      <c r="AA99" s="306">
        <f t="shared" si="77"/>
        <v>0.34561837160751574</v>
      </c>
      <c r="AB99" s="102">
        <f t="shared" si="77"/>
        <v>0.34561837160751568</v>
      </c>
      <c r="AC99" s="102">
        <f t="shared" si="77"/>
        <v>0.34561837160751568</v>
      </c>
      <c r="AD99" s="102">
        <f t="shared" si="77"/>
        <v>0.34561837160751557</v>
      </c>
      <c r="AE99" s="102">
        <f t="shared" si="77"/>
        <v>0.34561837160751557</v>
      </c>
      <c r="AF99" s="102">
        <f t="shared" si="77"/>
        <v>0.34561837160751557</v>
      </c>
      <c r="AG99" s="102">
        <f t="shared" si="77"/>
        <v>0.34561837160751557</v>
      </c>
      <c r="AH99" s="102">
        <f t="shared" si="77"/>
        <v>0.34561837160751557</v>
      </c>
      <c r="AI99" s="102">
        <f t="shared" si="77"/>
        <v>0.34561837160751557</v>
      </c>
      <c r="AJ99" s="102">
        <f t="shared" si="77"/>
        <v>0.34561837160751557</v>
      </c>
      <c r="AK99" s="102">
        <f t="shared" si="77"/>
        <v>0.34561837160751557</v>
      </c>
      <c r="AL99" s="102">
        <f t="shared" si="77"/>
        <v>0.34561837160751574</v>
      </c>
      <c r="AM99" s="102">
        <f t="shared" si="77"/>
        <v>0.34561837160751574</v>
      </c>
      <c r="AN99" s="300"/>
      <c r="AO99" s="9"/>
      <c r="AP99" s="9"/>
      <c r="AQ99" s="9"/>
      <c r="AR99" s="9"/>
      <c r="AS99" s="9"/>
      <c r="AT99" s="9"/>
      <c r="AU99" s="9"/>
      <c r="AV99" s="9"/>
      <c r="AW99" s="9"/>
      <c r="AX99" s="9"/>
    </row>
    <row r="100" spans="1:50" ht="18.75" customHeight="1" x14ac:dyDescent="0.2">
      <c r="A100" s="48"/>
      <c r="B100" s="46" t="s">
        <v>255</v>
      </c>
      <c r="C100" s="92"/>
      <c r="D100" s="99">
        <f t="shared" ref="D100:AM100" si="78">D28+D74</f>
        <v>593301.71039999998</v>
      </c>
      <c r="E100" s="99">
        <f t="shared" si="78"/>
        <v>244746.4976</v>
      </c>
      <c r="F100" s="99">
        <f t="shared" si="78"/>
        <v>730506.9824000001</v>
      </c>
      <c r="G100" s="99">
        <f t="shared" si="78"/>
        <v>597458.46400000004</v>
      </c>
      <c r="H100" s="99">
        <f t="shared" si="78"/>
        <v>597458.46400000004</v>
      </c>
      <c r="I100" s="99">
        <f t="shared" si="78"/>
        <v>597458.46400000004</v>
      </c>
      <c r="J100" s="99">
        <f t="shared" si="78"/>
        <v>597458.46400000004</v>
      </c>
      <c r="K100" s="99">
        <f t="shared" si="78"/>
        <v>597458.46400000004</v>
      </c>
      <c r="L100" s="99">
        <f t="shared" si="78"/>
        <v>597458.46400000004</v>
      </c>
      <c r="M100" s="99">
        <f t="shared" si="78"/>
        <v>597458.46400000004</v>
      </c>
      <c r="N100" s="99">
        <f t="shared" si="78"/>
        <v>636771.32799999998</v>
      </c>
      <c r="O100" s="305">
        <f t="shared" si="78"/>
        <v>1373280.848</v>
      </c>
      <c r="P100" s="99">
        <f t="shared" si="78"/>
        <v>680937.63199999998</v>
      </c>
      <c r="Q100" s="99">
        <f t="shared" si="78"/>
        <v>314260.24</v>
      </c>
      <c r="R100" s="99">
        <f t="shared" si="78"/>
        <v>796934.848</v>
      </c>
      <c r="S100" s="99">
        <f t="shared" si="78"/>
        <v>597458.46400000004</v>
      </c>
      <c r="T100" s="99">
        <f t="shared" si="78"/>
        <v>597458.46400000004</v>
      </c>
      <c r="U100" s="99">
        <f t="shared" si="78"/>
        <v>597458.46400000004</v>
      </c>
      <c r="V100" s="99">
        <f t="shared" si="78"/>
        <v>597458.46400000004</v>
      </c>
      <c r="W100" s="99">
        <f t="shared" si="78"/>
        <v>597458.46400000004</v>
      </c>
      <c r="X100" s="99">
        <f t="shared" si="78"/>
        <v>597458.46400000004</v>
      </c>
      <c r="Y100" s="99">
        <f t="shared" si="78"/>
        <v>597458.46400000004</v>
      </c>
      <c r="Z100" s="99">
        <f t="shared" si="78"/>
        <v>636771.32799999998</v>
      </c>
      <c r="AA100" s="305">
        <f t="shared" si="78"/>
        <v>1373280.848</v>
      </c>
      <c r="AB100" s="99">
        <f t="shared" si="78"/>
        <v>680937.63199999998</v>
      </c>
      <c r="AC100" s="99">
        <f t="shared" si="78"/>
        <v>314260.24</v>
      </c>
      <c r="AD100" s="99">
        <f t="shared" si="78"/>
        <v>796934.848</v>
      </c>
      <c r="AE100" s="99">
        <f t="shared" si="78"/>
        <v>597458.46400000004</v>
      </c>
      <c r="AF100" s="99">
        <f t="shared" si="78"/>
        <v>597458.46400000004</v>
      </c>
      <c r="AG100" s="99">
        <f t="shared" si="78"/>
        <v>597458.46400000004</v>
      </c>
      <c r="AH100" s="99">
        <f t="shared" si="78"/>
        <v>597458.46400000004</v>
      </c>
      <c r="AI100" s="99">
        <f t="shared" si="78"/>
        <v>597458.46400000004</v>
      </c>
      <c r="AJ100" s="99">
        <f t="shared" si="78"/>
        <v>597458.46400000004</v>
      </c>
      <c r="AK100" s="99">
        <f t="shared" si="78"/>
        <v>597458.46400000004</v>
      </c>
      <c r="AL100" s="99">
        <f t="shared" si="78"/>
        <v>636771.32799999998</v>
      </c>
      <c r="AM100" s="99">
        <f t="shared" si="78"/>
        <v>1373280.848</v>
      </c>
      <c r="AN100" s="300"/>
      <c r="AO100" s="9"/>
      <c r="AP100" s="9"/>
      <c r="AQ100" s="9"/>
      <c r="AR100" s="9"/>
      <c r="AS100" s="9"/>
      <c r="AT100" s="9"/>
      <c r="AU100" s="9"/>
      <c r="AV100" s="9"/>
      <c r="AW100" s="9"/>
      <c r="AX100" s="9"/>
    </row>
    <row r="101" spans="1:50" ht="31.5" x14ac:dyDescent="0.2">
      <c r="A101" s="48"/>
      <c r="B101" s="100" t="s">
        <v>60</v>
      </c>
      <c r="C101" s="101"/>
      <c r="D101" s="102">
        <f t="shared" ref="D101:AM101" si="79">D100/D28</f>
        <v>0.49645853658536582</v>
      </c>
      <c r="E101" s="102">
        <f t="shared" si="79"/>
        <v>0.49943983903420525</v>
      </c>
      <c r="F101" s="102">
        <f t="shared" si="79"/>
        <v>0.48192579957356085</v>
      </c>
      <c r="G101" s="102">
        <f t="shared" si="79"/>
        <v>0.49524897959183678</v>
      </c>
      <c r="H101" s="102">
        <f t="shared" si="79"/>
        <v>0.49524897959183678</v>
      </c>
      <c r="I101" s="102">
        <f t="shared" si="79"/>
        <v>0.49524897959183678</v>
      </c>
      <c r="J101" s="102">
        <f t="shared" si="79"/>
        <v>0.49524897959183678</v>
      </c>
      <c r="K101" s="102">
        <f t="shared" si="79"/>
        <v>0.49524897959183678</v>
      </c>
      <c r="L101" s="102">
        <f t="shared" si="79"/>
        <v>0.49524897959183678</v>
      </c>
      <c r="M101" s="102">
        <f t="shared" si="79"/>
        <v>0.49524897959183678</v>
      </c>
      <c r="N101" s="102">
        <f t="shared" si="79"/>
        <v>0.49524897959183672</v>
      </c>
      <c r="O101" s="306">
        <f t="shared" si="79"/>
        <v>0.49524897959183672</v>
      </c>
      <c r="P101" s="102">
        <f t="shared" si="79"/>
        <v>0.49524897959183672</v>
      </c>
      <c r="Q101" s="102">
        <f t="shared" si="79"/>
        <v>0.49524897959183672</v>
      </c>
      <c r="R101" s="102">
        <f t="shared" si="79"/>
        <v>0.49524897959183672</v>
      </c>
      <c r="S101" s="102">
        <f t="shared" si="79"/>
        <v>0.49524897959183678</v>
      </c>
      <c r="T101" s="102">
        <f t="shared" si="79"/>
        <v>0.49524897959183678</v>
      </c>
      <c r="U101" s="102">
        <f t="shared" si="79"/>
        <v>0.49524897959183678</v>
      </c>
      <c r="V101" s="102">
        <f t="shared" si="79"/>
        <v>0.49524897959183678</v>
      </c>
      <c r="W101" s="102">
        <f t="shared" si="79"/>
        <v>0.49524897959183678</v>
      </c>
      <c r="X101" s="102">
        <f t="shared" si="79"/>
        <v>0.49524897959183678</v>
      </c>
      <c r="Y101" s="102">
        <f t="shared" si="79"/>
        <v>0.49524897959183678</v>
      </c>
      <c r="Z101" s="102">
        <f t="shared" si="79"/>
        <v>0.49524897959183672</v>
      </c>
      <c r="AA101" s="306">
        <f t="shared" si="79"/>
        <v>0.49524897959183672</v>
      </c>
      <c r="AB101" s="102">
        <f t="shared" si="79"/>
        <v>0.49524897959183672</v>
      </c>
      <c r="AC101" s="102">
        <f t="shared" si="79"/>
        <v>0.49524897959183672</v>
      </c>
      <c r="AD101" s="102">
        <f t="shared" si="79"/>
        <v>0.49524897959183672</v>
      </c>
      <c r="AE101" s="102">
        <f t="shared" si="79"/>
        <v>0.49524897959183678</v>
      </c>
      <c r="AF101" s="102">
        <f t="shared" si="79"/>
        <v>0.49524897959183678</v>
      </c>
      <c r="AG101" s="102">
        <f t="shared" si="79"/>
        <v>0.49524897959183678</v>
      </c>
      <c r="AH101" s="102">
        <f t="shared" si="79"/>
        <v>0.49524897959183678</v>
      </c>
      <c r="AI101" s="102">
        <f t="shared" si="79"/>
        <v>0.49524897959183678</v>
      </c>
      <c r="AJ101" s="102">
        <f t="shared" si="79"/>
        <v>0.49524897959183678</v>
      </c>
      <c r="AK101" s="102">
        <f t="shared" si="79"/>
        <v>0.49524897959183678</v>
      </c>
      <c r="AL101" s="102">
        <f t="shared" si="79"/>
        <v>0.49524897959183672</v>
      </c>
      <c r="AM101" s="102">
        <f t="shared" si="79"/>
        <v>0.49524897959183672</v>
      </c>
      <c r="AN101" s="300"/>
      <c r="AO101" s="9"/>
      <c r="AP101" s="9"/>
      <c r="AQ101" s="9"/>
      <c r="AR101" s="9"/>
      <c r="AS101" s="9"/>
      <c r="AT101" s="9"/>
      <c r="AU101" s="9"/>
      <c r="AV101" s="9"/>
      <c r="AW101" s="9"/>
      <c r="AX101" s="9"/>
    </row>
    <row r="102" spans="1:50" ht="18.75" customHeight="1" x14ac:dyDescent="0.2">
      <c r="A102" s="48"/>
      <c r="B102" s="46" t="s">
        <v>256</v>
      </c>
      <c r="C102" s="92"/>
      <c r="D102" s="99">
        <f t="shared" ref="D102:AM102" si="80">D40+D81</f>
        <v>193829.88</v>
      </c>
      <c r="E102" s="99">
        <f t="shared" si="80"/>
        <v>88803.517599999992</v>
      </c>
      <c r="F102" s="99">
        <f t="shared" si="80"/>
        <v>202038.08800000002</v>
      </c>
      <c r="G102" s="99">
        <f t="shared" si="80"/>
        <v>146169.28</v>
      </c>
      <c r="H102" s="99">
        <f t="shared" si="80"/>
        <v>146169.28</v>
      </c>
      <c r="I102" s="99">
        <f t="shared" si="80"/>
        <v>146169.28</v>
      </c>
      <c r="J102" s="99">
        <f t="shared" si="80"/>
        <v>146169.28</v>
      </c>
      <c r="K102" s="99">
        <f t="shared" si="80"/>
        <v>146169.28</v>
      </c>
      <c r="L102" s="99">
        <f t="shared" si="80"/>
        <v>146169.28</v>
      </c>
      <c r="M102" s="99">
        <f t="shared" si="80"/>
        <v>146169.28</v>
      </c>
      <c r="N102" s="99">
        <f t="shared" si="80"/>
        <v>168094.67199999999</v>
      </c>
      <c r="O102" s="305">
        <f t="shared" si="80"/>
        <v>352729.55200000003</v>
      </c>
      <c r="P102" s="99">
        <f t="shared" si="80"/>
        <v>163863.45600000001</v>
      </c>
      <c r="Q102" s="99">
        <f t="shared" si="80"/>
        <v>80777.760000000009</v>
      </c>
      <c r="R102" s="99">
        <f t="shared" si="80"/>
        <v>193481.96800000002</v>
      </c>
      <c r="S102" s="99">
        <f t="shared" si="80"/>
        <v>146169.28</v>
      </c>
      <c r="T102" s="99">
        <f t="shared" si="80"/>
        <v>146169.28</v>
      </c>
      <c r="U102" s="99">
        <f t="shared" si="80"/>
        <v>146169.28</v>
      </c>
      <c r="V102" s="99">
        <f t="shared" si="80"/>
        <v>146169.28</v>
      </c>
      <c r="W102" s="99">
        <f t="shared" si="80"/>
        <v>146169.28</v>
      </c>
      <c r="X102" s="99">
        <f t="shared" si="80"/>
        <v>146169.28</v>
      </c>
      <c r="Y102" s="99">
        <f t="shared" si="80"/>
        <v>146169.28</v>
      </c>
      <c r="Z102" s="99">
        <f t="shared" si="80"/>
        <v>168094.67199999999</v>
      </c>
      <c r="AA102" s="305">
        <f t="shared" si="80"/>
        <v>352729.55200000003</v>
      </c>
      <c r="AB102" s="99">
        <f t="shared" si="80"/>
        <v>163863.45600000001</v>
      </c>
      <c r="AC102" s="99">
        <f t="shared" si="80"/>
        <v>80777.760000000009</v>
      </c>
      <c r="AD102" s="99">
        <f t="shared" si="80"/>
        <v>193481.96800000002</v>
      </c>
      <c r="AE102" s="99">
        <f t="shared" si="80"/>
        <v>146169.28</v>
      </c>
      <c r="AF102" s="99">
        <f t="shared" si="80"/>
        <v>146169.28</v>
      </c>
      <c r="AG102" s="99">
        <f t="shared" si="80"/>
        <v>146169.28</v>
      </c>
      <c r="AH102" s="99">
        <f t="shared" si="80"/>
        <v>146169.28</v>
      </c>
      <c r="AI102" s="99">
        <f t="shared" si="80"/>
        <v>146169.28</v>
      </c>
      <c r="AJ102" s="99">
        <f t="shared" si="80"/>
        <v>146169.28</v>
      </c>
      <c r="AK102" s="99">
        <f t="shared" si="80"/>
        <v>146169.28</v>
      </c>
      <c r="AL102" s="99">
        <f t="shared" si="80"/>
        <v>168094.67199999999</v>
      </c>
      <c r="AM102" s="99">
        <f t="shared" si="80"/>
        <v>352729.55200000003</v>
      </c>
      <c r="AN102" s="300"/>
      <c r="AO102" s="9"/>
      <c r="AP102" s="9"/>
      <c r="AQ102" s="9"/>
      <c r="AR102" s="9"/>
      <c r="AS102" s="9"/>
      <c r="AT102" s="9"/>
      <c r="AU102" s="9"/>
      <c r="AV102" s="9"/>
      <c r="AW102" s="9"/>
      <c r="AX102" s="9"/>
    </row>
    <row r="103" spans="1:50" ht="31.5" x14ac:dyDescent="0.2">
      <c r="A103" s="48"/>
      <c r="B103" s="100" t="s">
        <v>60</v>
      </c>
      <c r="C103" s="101"/>
      <c r="D103" s="102">
        <f t="shared" ref="D103:AM103" si="81">D102/D40</f>
        <v>0.51230310559006209</v>
      </c>
      <c r="E103" s="102">
        <f t="shared" si="81"/>
        <v>0.51090237203495625</v>
      </c>
      <c r="F103" s="102">
        <f t="shared" si="81"/>
        <v>0.49372715231788084</v>
      </c>
      <c r="G103" s="102">
        <f t="shared" si="81"/>
        <v>0.49955324675324675</v>
      </c>
      <c r="H103" s="102">
        <f t="shared" si="81"/>
        <v>0.49955324675324675</v>
      </c>
      <c r="I103" s="102">
        <f t="shared" si="81"/>
        <v>0.49955324675324675</v>
      </c>
      <c r="J103" s="102">
        <f t="shared" si="81"/>
        <v>0.49955324675324675</v>
      </c>
      <c r="K103" s="102">
        <f t="shared" si="81"/>
        <v>0.49955324675324675</v>
      </c>
      <c r="L103" s="102">
        <f t="shared" si="81"/>
        <v>0.49955324675324675</v>
      </c>
      <c r="M103" s="102">
        <f t="shared" si="81"/>
        <v>0.49955324675324675</v>
      </c>
      <c r="N103" s="102">
        <f t="shared" si="81"/>
        <v>0.49955324675324675</v>
      </c>
      <c r="O103" s="306">
        <f t="shared" si="81"/>
        <v>0.4995532467532468</v>
      </c>
      <c r="P103" s="102">
        <f t="shared" si="81"/>
        <v>0.49955324675324675</v>
      </c>
      <c r="Q103" s="102">
        <f t="shared" si="81"/>
        <v>0.4995532467532468</v>
      </c>
      <c r="R103" s="102">
        <f t="shared" si="81"/>
        <v>0.4995532467532468</v>
      </c>
      <c r="S103" s="102">
        <f t="shared" si="81"/>
        <v>0.49955324675324675</v>
      </c>
      <c r="T103" s="102">
        <f t="shared" si="81"/>
        <v>0.49955324675324675</v>
      </c>
      <c r="U103" s="102">
        <f t="shared" si="81"/>
        <v>0.49955324675324675</v>
      </c>
      <c r="V103" s="102">
        <f t="shared" si="81"/>
        <v>0.49955324675324675</v>
      </c>
      <c r="W103" s="102">
        <f t="shared" si="81"/>
        <v>0.49955324675324675</v>
      </c>
      <c r="X103" s="102">
        <f t="shared" si="81"/>
        <v>0.49955324675324675</v>
      </c>
      <c r="Y103" s="102">
        <f t="shared" si="81"/>
        <v>0.49955324675324675</v>
      </c>
      <c r="Z103" s="102">
        <f t="shared" si="81"/>
        <v>0.49955324675324675</v>
      </c>
      <c r="AA103" s="306">
        <f t="shared" si="81"/>
        <v>0.4995532467532468</v>
      </c>
      <c r="AB103" s="102">
        <f t="shared" si="81"/>
        <v>0.49955324675324675</v>
      </c>
      <c r="AC103" s="102">
        <f t="shared" si="81"/>
        <v>0.4995532467532468</v>
      </c>
      <c r="AD103" s="102">
        <f t="shared" si="81"/>
        <v>0.4995532467532468</v>
      </c>
      <c r="AE103" s="102">
        <f t="shared" si="81"/>
        <v>0.49955324675324675</v>
      </c>
      <c r="AF103" s="102">
        <f t="shared" si="81"/>
        <v>0.49955324675324675</v>
      </c>
      <c r="AG103" s="102">
        <f t="shared" si="81"/>
        <v>0.49955324675324675</v>
      </c>
      <c r="AH103" s="102">
        <f t="shared" si="81"/>
        <v>0.49955324675324675</v>
      </c>
      <c r="AI103" s="102">
        <f t="shared" si="81"/>
        <v>0.49955324675324675</v>
      </c>
      <c r="AJ103" s="102">
        <f t="shared" si="81"/>
        <v>0.49955324675324675</v>
      </c>
      <c r="AK103" s="102">
        <f t="shared" si="81"/>
        <v>0.49955324675324675</v>
      </c>
      <c r="AL103" s="102">
        <f t="shared" si="81"/>
        <v>0.49955324675324675</v>
      </c>
      <c r="AM103" s="102">
        <f t="shared" si="81"/>
        <v>0.4995532467532468</v>
      </c>
      <c r="AN103" s="300"/>
      <c r="AO103" s="9"/>
      <c r="AP103" s="9"/>
      <c r="AQ103" s="9"/>
      <c r="AR103" s="9"/>
      <c r="AS103" s="9"/>
      <c r="AT103" s="9"/>
      <c r="AU103" s="9"/>
      <c r="AV103" s="9"/>
      <c r="AW103" s="9"/>
      <c r="AX103" s="9"/>
    </row>
    <row r="104" spans="1:50" ht="15.75" customHeight="1" x14ac:dyDescent="0.2">
      <c r="A104" s="16"/>
      <c r="B104" s="103" t="s">
        <v>64</v>
      </c>
      <c r="C104" s="76"/>
      <c r="D104" s="77">
        <f t="shared" ref="D104:AM104" si="82">D105+SUM(D107:D113)</f>
        <v>-249575</v>
      </c>
      <c r="E104" s="77">
        <f t="shared" si="82"/>
        <v>-249575</v>
      </c>
      <c r="F104" s="77">
        <f t="shared" si="82"/>
        <v>-249575</v>
      </c>
      <c r="G104" s="77">
        <f t="shared" si="82"/>
        <v>-239762</v>
      </c>
      <c r="H104" s="77">
        <f t="shared" si="82"/>
        <v>-239762</v>
      </c>
      <c r="I104" s="77">
        <f t="shared" si="82"/>
        <v>-239762</v>
      </c>
      <c r="J104" s="77">
        <f t="shared" si="82"/>
        <v>-239762</v>
      </c>
      <c r="K104" s="77">
        <f t="shared" si="82"/>
        <v>-239762</v>
      </c>
      <c r="L104" s="77">
        <f t="shared" si="82"/>
        <v>-239762</v>
      </c>
      <c r="M104" s="77">
        <f t="shared" si="82"/>
        <v>-239762</v>
      </c>
      <c r="N104" s="77">
        <f t="shared" si="82"/>
        <v>-238915</v>
      </c>
      <c r="O104" s="273">
        <f t="shared" si="82"/>
        <v>-246769</v>
      </c>
      <c r="P104" s="77">
        <f t="shared" si="82"/>
        <v>-236528</v>
      </c>
      <c r="Q104" s="77">
        <f t="shared" si="82"/>
        <v>-247616</v>
      </c>
      <c r="R104" s="77">
        <f t="shared" si="82"/>
        <v>-290967</v>
      </c>
      <c r="S104" s="77">
        <f t="shared" si="82"/>
        <v>-239762</v>
      </c>
      <c r="T104" s="77">
        <f t="shared" si="82"/>
        <v>-239762</v>
      </c>
      <c r="U104" s="77">
        <f t="shared" si="82"/>
        <v>-239762</v>
      </c>
      <c r="V104" s="77">
        <f t="shared" si="82"/>
        <v>-239762</v>
      </c>
      <c r="W104" s="77">
        <f t="shared" si="82"/>
        <v>-239762</v>
      </c>
      <c r="X104" s="77">
        <f t="shared" si="82"/>
        <v>-239762</v>
      </c>
      <c r="Y104" s="77">
        <f t="shared" si="82"/>
        <v>-239762</v>
      </c>
      <c r="Z104" s="77">
        <f t="shared" si="82"/>
        <v>-238915</v>
      </c>
      <c r="AA104" s="273">
        <f t="shared" si="82"/>
        <v>-246769</v>
      </c>
      <c r="AB104" s="77">
        <f t="shared" si="82"/>
        <v>-236528</v>
      </c>
      <c r="AC104" s="77">
        <f t="shared" si="82"/>
        <v>-247616</v>
      </c>
      <c r="AD104" s="77">
        <f t="shared" si="82"/>
        <v>-290967</v>
      </c>
      <c r="AE104" s="77">
        <f t="shared" si="82"/>
        <v>-239762</v>
      </c>
      <c r="AF104" s="77">
        <f t="shared" si="82"/>
        <v>-239762</v>
      </c>
      <c r="AG104" s="77">
        <f t="shared" si="82"/>
        <v>-239762</v>
      </c>
      <c r="AH104" s="77">
        <f t="shared" si="82"/>
        <v>-239762</v>
      </c>
      <c r="AI104" s="77">
        <f t="shared" si="82"/>
        <v>-239762</v>
      </c>
      <c r="AJ104" s="77">
        <f t="shared" si="82"/>
        <v>-239762</v>
      </c>
      <c r="AK104" s="77">
        <f t="shared" si="82"/>
        <v>-239762</v>
      </c>
      <c r="AL104" s="77">
        <f t="shared" si="82"/>
        <v>-238915</v>
      </c>
      <c r="AM104" s="77">
        <f t="shared" si="82"/>
        <v>-246769</v>
      </c>
      <c r="AN104" s="274">
        <f t="shared" ref="AN104:AN105" si="83">SUM(D104:O104)</f>
        <v>-2912743</v>
      </c>
      <c r="AO104" s="9"/>
      <c r="AP104" s="9"/>
      <c r="AQ104" s="9"/>
      <c r="AR104" s="9"/>
      <c r="AS104" s="9"/>
      <c r="AT104" s="9"/>
      <c r="AU104" s="9"/>
      <c r="AV104" s="9"/>
      <c r="AW104" s="9"/>
      <c r="AX104" s="9"/>
    </row>
    <row r="105" spans="1:50" ht="15.75" customHeight="1" outlineLevel="1" x14ac:dyDescent="0.25">
      <c r="A105" s="104"/>
      <c r="B105" s="105" t="s">
        <v>257</v>
      </c>
      <c r="C105" s="113">
        <v>77</v>
      </c>
      <c r="D105" s="307">
        <v>-154496</v>
      </c>
      <c r="E105" s="307">
        <v>-154496</v>
      </c>
      <c r="F105" s="307">
        <v>-154496</v>
      </c>
      <c r="G105" s="107">
        <f t="shared" ref="G105:AM105" si="84">-$C105*G24</f>
        <v>-144683</v>
      </c>
      <c r="H105" s="107">
        <f t="shared" si="84"/>
        <v>-144683</v>
      </c>
      <c r="I105" s="107">
        <f t="shared" si="84"/>
        <v>-144683</v>
      </c>
      <c r="J105" s="107">
        <f t="shared" si="84"/>
        <v>-144683</v>
      </c>
      <c r="K105" s="107">
        <f t="shared" si="84"/>
        <v>-144683</v>
      </c>
      <c r="L105" s="107">
        <f t="shared" si="84"/>
        <v>-144683</v>
      </c>
      <c r="M105" s="107">
        <f t="shared" si="84"/>
        <v>-144683</v>
      </c>
      <c r="N105" s="107">
        <f t="shared" si="84"/>
        <v>-143836</v>
      </c>
      <c r="O105" s="308">
        <f t="shared" si="84"/>
        <v>-151690</v>
      </c>
      <c r="P105" s="107">
        <f t="shared" si="84"/>
        <v>-141449</v>
      </c>
      <c r="Q105" s="107">
        <f t="shared" si="84"/>
        <v>-152537</v>
      </c>
      <c r="R105" s="107">
        <f t="shared" si="84"/>
        <v>-195888</v>
      </c>
      <c r="S105" s="107">
        <f t="shared" si="84"/>
        <v>-144683</v>
      </c>
      <c r="T105" s="107">
        <f t="shared" si="84"/>
        <v>-144683</v>
      </c>
      <c r="U105" s="107">
        <f t="shared" si="84"/>
        <v>-144683</v>
      </c>
      <c r="V105" s="107">
        <f t="shared" si="84"/>
        <v>-144683</v>
      </c>
      <c r="W105" s="107">
        <f t="shared" si="84"/>
        <v>-144683</v>
      </c>
      <c r="X105" s="107">
        <f t="shared" si="84"/>
        <v>-144683</v>
      </c>
      <c r="Y105" s="107">
        <f t="shared" si="84"/>
        <v>-144683</v>
      </c>
      <c r="Z105" s="107">
        <f t="shared" si="84"/>
        <v>-143836</v>
      </c>
      <c r="AA105" s="308">
        <f t="shared" si="84"/>
        <v>-151690</v>
      </c>
      <c r="AB105" s="107">
        <f t="shared" si="84"/>
        <v>-141449</v>
      </c>
      <c r="AC105" s="107">
        <f t="shared" si="84"/>
        <v>-152537</v>
      </c>
      <c r="AD105" s="107">
        <f t="shared" si="84"/>
        <v>-195888</v>
      </c>
      <c r="AE105" s="107">
        <f t="shared" si="84"/>
        <v>-144683</v>
      </c>
      <c r="AF105" s="107">
        <f t="shared" si="84"/>
        <v>-144683</v>
      </c>
      <c r="AG105" s="107">
        <f t="shared" si="84"/>
        <v>-144683</v>
      </c>
      <c r="AH105" s="107">
        <f t="shared" si="84"/>
        <v>-144683</v>
      </c>
      <c r="AI105" s="107">
        <f t="shared" si="84"/>
        <v>-144683</v>
      </c>
      <c r="AJ105" s="107">
        <f t="shared" si="84"/>
        <v>-144683</v>
      </c>
      <c r="AK105" s="107">
        <f t="shared" si="84"/>
        <v>-144683</v>
      </c>
      <c r="AL105" s="107">
        <f t="shared" si="84"/>
        <v>-143836</v>
      </c>
      <c r="AM105" s="107">
        <f t="shared" si="84"/>
        <v>-151690</v>
      </c>
      <c r="AN105" s="309">
        <f t="shared" si="83"/>
        <v>-1771795</v>
      </c>
      <c r="AO105" s="9"/>
      <c r="AP105" s="9"/>
      <c r="AQ105" s="9"/>
      <c r="AR105" s="9"/>
      <c r="AS105" s="9"/>
      <c r="AT105" s="9"/>
      <c r="AU105" s="9"/>
      <c r="AV105" s="9"/>
      <c r="AW105" s="9"/>
      <c r="AX105" s="9"/>
    </row>
    <row r="106" spans="1:50" ht="15.75" customHeight="1" outlineLevel="1" x14ac:dyDescent="0.2">
      <c r="A106" s="108"/>
      <c r="B106" s="140" t="s">
        <v>258</v>
      </c>
      <c r="C106" s="310"/>
      <c r="D106" s="311">
        <f t="shared" ref="D106:AM106" si="85">-D105/D16</f>
        <v>0.21017805058552089</v>
      </c>
      <c r="E106" s="311">
        <f t="shared" si="85"/>
        <v>0.17454078767947381</v>
      </c>
      <c r="F106" s="311">
        <f t="shared" si="85"/>
        <v>0.10516420675886415</v>
      </c>
      <c r="G106" s="311">
        <f t="shared" si="85"/>
        <v>0.16075156576200417</v>
      </c>
      <c r="H106" s="311">
        <f t="shared" si="85"/>
        <v>0.16075156576200417</v>
      </c>
      <c r="I106" s="311">
        <f t="shared" si="85"/>
        <v>0.16075156576200417</v>
      </c>
      <c r="J106" s="311">
        <f t="shared" si="85"/>
        <v>0.16075156576200417</v>
      </c>
      <c r="K106" s="311">
        <f t="shared" si="85"/>
        <v>0.16075156576200417</v>
      </c>
      <c r="L106" s="311">
        <f t="shared" si="85"/>
        <v>0.16075156576200417</v>
      </c>
      <c r="M106" s="311">
        <f t="shared" si="85"/>
        <v>0.16075156576200417</v>
      </c>
      <c r="N106" s="311">
        <f t="shared" si="85"/>
        <v>0.16075156576200417</v>
      </c>
      <c r="O106" s="312">
        <f t="shared" si="85"/>
        <v>0.16075156576200417</v>
      </c>
      <c r="P106" s="311">
        <f t="shared" si="85"/>
        <v>0.16075156576200417</v>
      </c>
      <c r="Q106" s="311">
        <f t="shared" si="85"/>
        <v>0.16075156576200417</v>
      </c>
      <c r="R106" s="311">
        <f t="shared" si="85"/>
        <v>0.16075156576200417</v>
      </c>
      <c r="S106" s="311">
        <f t="shared" si="85"/>
        <v>0.16075156576200417</v>
      </c>
      <c r="T106" s="311">
        <f t="shared" si="85"/>
        <v>0.16075156576200417</v>
      </c>
      <c r="U106" s="311">
        <f t="shared" si="85"/>
        <v>0.16075156576200417</v>
      </c>
      <c r="V106" s="311">
        <f t="shared" si="85"/>
        <v>0.16075156576200417</v>
      </c>
      <c r="W106" s="311">
        <f t="shared" si="85"/>
        <v>0.16075156576200417</v>
      </c>
      <c r="X106" s="311">
        <f t="shared" si="85"/>
        <v>0.16075156576200417</v>
      </c>
      <c r="Y106" s="311">
        <f t="shared" si="85"/>
        <v>0.16075156576200417</v>
      </c>
      <c r="Z106" s="311">
        <f t="shared" si="85"/>
        <v>0.16075156576200417</v>
      </c>
      <c r="AA106" s="312">
        <f t="shared" si="85"/>
        <v>0.16075156576200417</v>
      </c>
      <c r="AB106" s="311">
        <f t="shared" si="85"/>
        <v>0.16075156576200417</v>
      </c>
      <c r="AC106" s="311">
        <f t="shared" si="85"/>
        <v>0.16075156576200417</v>
      </c>
      <c r="AD106" s="311">
        <f t="shared" si="85"/>
        <v>0.16075156576200417</v>
      </c>
      <c r="AE106" s="311">
        <f t="shared" si="85"/>
        <v>0.16075156576200417</v>
      </c>
      <c r="AF106" s="311">
        <f t="shared" si="85"/>
        <v>0.16075156576200417</v>
      </c>
      <c r="AG106" s="311">
        <f t="shared" si="85"/>
        <v>0.16075156576200417</v>
      </c>
      <c r="AH106" s="311">
        <f t="shared" si="85"/>
        <v>0.16075156576200417</v>
      </c>
      <c r="AI106" s="311">
        <f t="shared" si="85"/>
        <v>0.16075156576200417</v>
      </c>
      <c r="AJ106" s="311">
        <f t="shared" si="85"/>
        <v>0.16075156576200417</v>
      </c>
      <c r="AK106" s="311">
        <f t="shared" si="85"/>
        <v>0.16075156576200417</v>
      </c>
      <c r="AL106" s="311">
        <f t="shared" si="85"/>
        <v>0.16075156576200417</v>
      </c>
      <c r="AM106" s="311">
        <f t="shared" si="85"/>
        <v>0.16075156576200417</v>
      </c>
      <c r="AN106" s="313"/>
      <c r="AO106" s="314"/>
      <c r="AP106" s="314"/>
      <c r="AQ106" s="314"/>
      <c r="AR106" s="314"/>
      <c r="AS106" s="314"/>
      <c r="AT106" s="314"/>
      <c r="AU106" s="314"/>
      <c r="AV106" s="314"/>
      <c r="AW106" s="314"/>
      <c r="AX106" s="314"/>
    </row>
    <row r="107" spans="1:50" ht="15.75" customHeight="1" outlineLevel="1" x14ac:dyDescent="0.25">
      <c r="A107" s="104"/>
      <c r="B107" s="105" t="s">
        <v>259</v>
      </c>
      <c r="C107" s="113">
        <v>30640</v>
      </c>
      <c r="D107" s="307">
        <v>-30640</v>
      </c>
      <c r="E107" s="307">
        <v>-30640</v>
      </c>
      <c r="F107" s="307">
        <v>-30640</v>
      </c>
      <c r="G107" s="107">
        <f t="shared" ref="G107:AM107" si="86">-$C107</f>
        <v>-30640</v>
      </c>
      <c r="H107" s="107">
        <f t="shared" si="86"/>
        <v>-30640</v>
      </c>
      <c r="I107" s="107">
        <f t="shared" si="86"/>
        <v>-30640</v>
      </c>
      <c r="J107" s="107">
        <f t="shared" si="86"/>
        <v>-30640</v>
      </c>
      <c r="K107" s="107">
        <f t="shared" si="86"/>
        <v>-30640</v>
      </c>
      <c r="L107" s="107">
        <f t="shared" si="86"/>
        <v>-30640</v>
      </c>
      <c r="M107" s="107">
        <f t="shared" si="86"/>
        <v>-30640</v>
      </c>
      <c r="N107" s="107">
        <f t="shared" si="86"/>
        <v>-30640</v>
      </c>
      <c r="O107" s="308">
        <f t="shared" si="86"/>
        <v>-30640</v>
      </c>
      <c r="P107" s="107">
        <f t="shared" si="86"/>
        <v>-30640</v>
      </c>
      <c r="Q107" s="107">
        <f t="shared" si="86"/>
        <v>-30640</v>
      </c>
      <c r="R107" s="107">
        <f t="shared" si="86"/>
        <v>-30640</v>
      </c>
      <c r="S107" s="107">
        <f t="shared" si="86"/>
        <v>-30640</v>
      </c>
      <c r="T107" s="107">
        <f t="shared" si="86"/>
        <v>-30640</v>
      </c>
      <c r="U107" s="107">
        <f t="shared" si="86"/>
        <v>-30640</v>
      </c>
      <c r="V107" s="107">
        <f t="shared" si="86"/>
        <v>-30640</v>
      </c>
      <c r="W107" s="107">
        <f t="shared" si="86"/>
        <v>-30640</v>
      </c>
      <c r="X107" s="107">
        <f t="shared" si="86"/>
        <v>-30640</v>
      </c>
      <c r="Y107" s="107">
        <f t="shared" si="86"/>
        <v>-30640</v>
      </c>
      <c r="Z107" s="107">
        <f t="shared" si="86"/>
        <v>-30640</v>
      </c>
      <c r="AA107" s="308">
        <f t="shared" si="86"/>
        <v>-30640</v>
      </c>
      <c r="AB107" s="107">
        <f t="shared" si="86"/>
        <v>-30640</v>
      </c>
      <c r="AC107" s="107">
        <f t="shared" si="86"/>
        <v>-30640</v>
      </c>
      <c r="AD107" s="107">
        <f t="shared" si="86"/>
        <v>-30640</v>
      </c>
      <c r="AE107" s="107">
        <f t="shared" si="86"/>
        <v>-30640</v>
      </c>
      <c r="AF107" s="107">
        <f t="shared" si="86"/>
        <v>-30640</v>
      </c>
      <c r="AG107" s="107">
        <f t="shared" si="86"/>
        <v>-30640</v>
      </c>
      <c r="AH107" s="107">
        <f t="shared" si="86"/>
        <v>-30640</v>
      </c>
      <c r="AI107" s="107">
        <f t="shared" si="86"/>
        <v>-30640</v>
      </c>
      <c r="AJ107" s="107">
        <f t="shared" si="86"/>
        <v>-30640</v>
      </c>
      <c r="AK107" s="107">
        <f t="shared" si="86"/>
        <v>-30640</v>
      </c>
      <c r="AL107" s="107">
        <f t="shared" si="86"/>
        <v>-30640</v>
      </c>
      <c r="AM107" s="107">
        <f t="shared" si="86"/>
        <v>-30640</v>
      </c>
      <c r="AN107" s="309">
        <f t="shared" ref="AN107:AN113" si="87">SUM(D107:O107)</f>
        <v>-367680</v>
      </c>
      <c r="AO107" s="9"/>
      <c r="AP107" s="9"/>
      <c r="AQ107" s="9"/>
      <c r="AR107" s="9"/>
      <c r="AS107" s="9"/>
      <c r="AT107" s="9"/>
      <c r="AU107" s="9"/>
      <c r="AV107" s="9"/>
      <c r="AW107" s="9"/>
      <c r="AX107" s="9"/>
    </row>
    <row r="108" spans="1:50" ht="15.75" customHeight="1" outlineLevel="1" x14ac:dyDescent="0.25">
      <c r="A108" s="120"/>
      <c r="B108" s="121" t="s">
        <v>260</v>
      </c>
      <c r="C108" s="113">
        <v>4853</v>
      </c>
      <c r="D108" s="307">
        <v>-4853</v>
      </c>
      <c r="E108" s="307">
        <v>-4853</v>
      </c>
      <c r="F108" s="307">
        <v>-4853</v>
      </c>
      <c r="G108" s="107">
        <f t="shared" ref="G108:AM108" si="88">-$C108</f>
        <v>-4853</v>
      </c>
      <c r="H108" s="107">
        <f t="shared" si="88"/>
        <v>-4853</v>
      </c>
      <c r="I108" s="107">
        <f t="shared" si="88"/>
        <v>-4853</v>
      </c>
      <c r="J108" s="107">
        <f t="shared" si="88"/>
        <v>-4853</v>
      </c>
      <c r="K108" s="107">
        <f t="shared" si="88"/>
        <v>-4853</v>
      </c>
      <c r="L108" s="107">
        <f t="shared" si="88"/>
        <v>-4853</v>
      </c>
      <c r="M108" s="107">
        <f t="shared" si="88"/>
        <v>-4853</v>
      </c>
      <c r="N108" s="107">
        <f t="shared" si="88"/>
        <v>-4853</v>
      </c>
      <c r="O108" s="308">
        <f t="shared" si="88"/>
        <v>-4853</v>
      </c>
      <c r="P108" s="107">
        <f t="shared" si="88"/>
        <v>-4853</v>
      </c>
      <c r="Q108" s="107">
        <f t="shared" si="88"/>
        <v>-4853</v>
      </c>
      <c r="R108" s="107">
        <f t="shared" si="88"/>
        <v>-4853</v>
      </c>
      <c r="S108" s="107">
        <f t="shared" si="88"/>
        <v>-4853</v>
      </c>
      <c r="T108" s="107">
        <f t="shared" si="88"/>
        <v>-4853</v>
      </c>
      <c r="U108" s="107">
        <f t="shared" si="88"/>
        <v>-4853</v>
      </c>
      <c r="V108" s="107">
        <f t="shared" si="88"/>
        <v>-4853</v>
      </c>
      <c r="W108" s="107">
        <f t="shared" si="88"/>
        <v>-4853</v>
      </c>
      <c r="X108" s="107">
        <f t="shared" si="88"/>
        <v>-4853</v>
      </c>
      <c r="Y108" s="107">
        <f t="shared" si="88"/>
        <v>-4853</v>
      </c>
      <c r="Z108" s="107">
        <f t="shared" si="88"/>
        <v>-4853</v>
      </c>
      <c r="AA108" s="308">
        <f t="shared" si="88"/>
        <v>-4853</v>
      </c>
      <c r="AB108" s="107">
        <f t="shared" si="88"/>
        <v>-4853</v>
      </c>
      <c r="AC108" s="107">
        <f t="shared" si="88"/>
        <v>-4853</v>
      </c>
      <c r="AD108" s="107">
        <f t="shared" si="88"/>
        <v>-4853</v>
      </c>
      <c r="AE108" s="107">
        <f t="shared" si="88"/>
        <v>-4853</v>
      </c>
      <c r="AF108" s="107">
        <f t="shared" si="88"/>
        <v>-4853</v>
      </c>
      <c r="AG108" s="107">
        <f t="shared" si="88"/>
        <v>-4853</v>
      </c>
      <c r="AH108" s="107">
        <f t="shared" si="88"/>
        <v>-4853</v>
      </c>
      <c r="AI108" s="107">
        <f t="shared" si="88"/>
        <v>-4853</v>
      </c>
      <c r="AJ108" s="107">
        <f t="shared" si="88"/>
        <v>-4853</v>
      </c>
      <c r="AK108" s="107">
        <f t="shared" si="88"/>
        <v>-4853</v>
      </c>
      <c r="AL108" s="107">
        <f t="shared" si="88"/>
        <v>-4853</v>
      </c>
      <c r="AM108" s="107">
        <f t="shared" si="88"/>
        <v>-4853</v>
      </c>
      <c r="AN108" s="309">
        <f t="shared" si="87"/>
        <v>-58236</v>
      </c>
      <c r="AO108" s="9"/>
      <c r="AP108" s="9"/>
      <c r="AQ108" s="9"/>
      <c r="AR108" s="9"/>
      <c r="AS108" s="9"/>
      <c r="AT108" s="9"/>
      <c r="AU108" s="9"/>
      <c r="AV108" s="9"/>
      <c r="AW108" s="9"/>
      <c r="AX108" s="9"/>
    </row>
    <row r="109" spans="1:50" ht="15.75" customHeight="1" outlineLevel="1" x14ac:dyDescent="0.25">
      <c r="A109" s="18"/>
      <c r="B109" s="121" t="s">
        <v>261</v>
      </c>
      <c r="C109" s="113">
        <v>100</v>
      </c>
      <c r="D109" s="307">
        <v>-100</v>
      </c>
      <c r="E109" s="307">
        <v>-100</v>
      </c>
      <c r="F109" s="307">
        <v>-100</v>
      </c>
      <c r="G109" s="107">
        <f t="shared" ref="G109:AM109" si="89">-$C109</f>
        <v>-100</v>
      </c>
      <c r="H109" s="107">
        <f t="shared" si="89"/>
        <v>-100</v>
      </c>
      <c r="I109" s="107">
        <f t="shared" si="89"/>
        <v>-100</v>
      </c>
      <c r="J109" s="107">
        <f t="shared" si="89"/>
        <v>-100</v>
      </c>
      <c r="K109" s="107">
        <f t="shared" si="89"/>
        <v>-100</v>
      </c>
      <c r="L109" s="107">
        <f t="shared" si="89"/>
        <v>-100</v>
      </c>
      <c r="M109" s="107">
        <f t="shared" si="89"/>
        <v>-100</v>
      </c>
      <c r="N109" s="107">
        <f t="shared" si="89"/>
        <v>-100</v>
      </c>
      <c r="O109" s="308">
        <f t="shared" si="89"/>
        <v>-100</v>
      </c>
      <c r="P109" s="107">
        <f t="shared" si="89"/>
        <v>-100</v>
      </c>
      <c r="Q109" s="107">
        <f t="shared" si="89"/>
        <v>-100</v>
      </c>
      <c r="R109" s="107">
        <f t="shared" si="89"/>
        <v>-100</v>
      </c>
      <c r="S109" s="107">
        <f t="shared" si="89"/>
        <v>-100</v>
      </c>
      <c r="T109" s="107">
        <f t="shared" si="89"/>
        <v>-100</v>
      </c>
      <c r="U109" s="107">
        <f t="shared" si="89"/>
        <v>-100</v>
      </c>
      <c r="V109" s="107">
        <f t="shared" si="89"/>
        <v>-100</v>
      </c>
      <c r="W109" s="107">
        <f t="shared" si="89"/>
        <v>-100</v>
      </c>
      <c r="X109" s="107">
        <f t="shared" si="89"/>
        <v>-100</v>
      </c>
      <c r="Y109" s="107">
        <f t="shared" si="89"/>
        <v>-100</v>
      </c>
      <c r="Z109" s="107">
        <f t="shared" si="89"/>
        <v>-100</v>
      </c>
      <c r="AA109" s="308">
        <f t="shared" si="89"/>
        <v>-100</v>
      </c>
      <c r="AB109" s="107">
        <f t="shared" si="89"/>
        <v>-100</v>
      </c>
      <c r="AC109" s="107">
        <f t="shared" si="89"/>
        <v>-100</v>
      </c>
      <c r="AD109" s="107">
        <f t="shared" si="89"/>
        <v>-100</v>
      </c>
      <c r="AE109" s="107">
        <f t="shared" si="89"/>
        <v>-100</v>
      </c>
      <c r="AF109" s="107">
        <f t="shared" si="89"/>
        <v>-100</v>
      </c>
      <c r="AG109" s="107">
        <f t="shared" si="89"/>
        <v>-100</v>
      </c>
      <c r="AH109" s="107">
        <f t="shared" si="89"/>
        <v>-100</v>
      </c>
      <c r="AI109" s="107">
        <f t="shared" si="89"/>
        <v>-100</v>
      </c>
      <c r="AJ109" s="107">
        <f t="shared" si="89"/>
        <v>-100</v>
      </c>
      <c r="AK109" s="107">
        <f t="shared" si="89"/>
        <v>-100</v>
      </c>
      <c r="AL109" s="107">
        <f t="shared" si="89"/>
        <v>-100</v>
      </c>
      <c r="AM109" s="107">
        <f t="shared" si="89"/>
        <v>-100</v>
      </c>
      <c r="AN109" s="309">
        <f t="shared" si="87"/>
        <v>-1200</v>
      </c>
      <c r="AO109" s="9"/>
      <c r="AP109" s="9"/>
      <c r="AQ109" s="9"/>
      <c r="AR109" s="9"/>
      <c r="AS109" s="9"/>
      <c r="AT109" s="9"/>
      <c r="AU109" s="9"/>
      <c r="AV109" s="9"/>
      <c r="AW109" s="9"/>
      <c r="AX109" s="9"/>
    </row>
    <row r="110" spans="1:50" ht="15.75" customHeight="1" outlineLevel="1" x14ac:dyDescent="0.25">
      <c r="A110" s="18"/>
      <c r="B110" s="121" t="s">
        <v>262</v>
      </c>
      <c r="C110" s="113">
        <v>3000</v>
      </c>
      <c r="D110" s="307">
        <v>-3000</v>
      </c>
      <c r="E110" s="307">
        <v>-3000</v>
      </c>
      <c r="F110" s="307">
        <v>-3000</v>
      </c>
      <c r="G110" s="107">
        <f t="shared" ref="G110:AM110" si="90">-$C110</f>
        <v>-3000</v>
      </c>
      <c r="H110" s="107">
        <f t="shared" si="90"/>
        <v>-3000</v>
      </c>
      <c r="I110" s="107">
        <f t="shared" si="90"/>
        <v>-3000</v>
      </c>
      <c r="J110" s="107">
        <f t="shared" si="90"/>
        <v>-3000</v>
      </c>
      <c r="K110" s="107">
        <f t="shared" si="90"/>
        <v>-3000</v>
      </c>
      <c r="L110" s="107">
        <f t="shared" si="90"/>
        <v>-3000</v>
      </c>
      <c r="M110" s="107">
        <f t="shared" si="90"/>
        <v>-3000</v>
      </c>
      <c r="N110" s="107">
        <f t="shared" si="90"/>
        <v>-3000</v>
      </c>
      <c r="O110" s="308">
        <f t="shared" si="90"/>
        <v>-3000</v>
      </c>
      <c r="P110" s="107">
        <f t="shared" si="90"/>
        <v>-3000</v>
      </c>
      <c r="Q110" s="107">
        <f t="shared" si="90"/>
        <v>-3000</v>
      </c>
      <c r="R110" s="107">
        <f t="shared" si="90"/>
        <v>-3000</v>
      </c>
      <c r="S110" s="107">
        <f t="shared" si="90"/>
        <v>-3000</v>
      </c>
      <c r="T110" s="107">
        <f t="shared" si="90"/>
        <v>-3000</v>
      </c>
      <c r="U110" s="107">
        <f t="shared" si="90"/>
        <v>-3000</v>
      </c>
      <c r="V110" s="107">
        <f t="shared" si="90"/>
        <v>-3000</v>
      </c>
      <c r="W110" s="107">
        <f t="shared" si="90"/>
        <v>-3000</v>
      </c>
      <c r="X110" s="107">
        <f t="shared" si="90"/>
        <v>-3000</v>
      </c>
      <c r="Y110" s="107">
        <f t="shared" si="90"/>
        <v>-3000</v>
      </c>
      <c r="Z110" s="107">
        <f t="shared" si="90"/>
        <v>-3000</v>
      </c>
      <c r="AA110" s="308">
        <f t="shared" si="90"/>
        <v>-3000</v>
      </c>
      <c r="AB110" s="107">
        <f t="shared" si="90"/>
        <v>-3000</v>
      </c>
      <c r="AC110" s="107">
        <f t="shared" si="90"/>
        <v>-3000</v>
      </c>
      <c r="AD110" s="107">
        <f t="shared" si="90"/>
        <v>-3000</v>
      </c>
      <c r="AE110" s="107">
        <f t="shared" si="90"/>
        <v>-3000</v>
      </c>
      <c r="AF110" s="107">
        <f t="shared" si="90"/>
        <v>-3000</v>
      </c>
      <c r="AG110" s="107">
        <f t="shared" si="90"/>
        <v>-3000</v>
      </c>
      <c r="AH110" s="107">
        <f t="shared" si="90"/>
        <v>-3000</v>
      </c>
      <c r="AI110" s="107">
        <f t="shared" si="90"/>
        <v>-3000</v>
      </c>
      <c r="AJ110" s="107">
        <f t="shared" si="90"/>
        <v>-3000</v>
      </c>
      <c r="AK110" s="107">
        <f t="shared" si="90"/>
        <v>-3000</v>
      </c>
      <c r="AL110" s="107">
        <f t="shared" si="90"/>
        <v>-3000</v>
      </c>
      <c r="AM110" s="107">
        <f t="shared" si="90"/>
        <v>-3000</v>
      </c>
      <c r="AN110" s="309">
        <f t="shared" si="87"/>
        <v>-36000</v>
      </c>
      <c r="AO110" s="9"/>
      <c r="AP110" s="9"/>
      <c r="AQ110" s="9"/>
      <c r="AR110" s="9"/>
      <c r="AS110" s="9"/>
      <c r="AT110" s="9"/>
      <c r="AU110" s="9"/>
      <c r="AV110" s="9"/>
      <c r="AW110" s="9"/>
      <c r="AX110" s="9"/>
    </row>
    <row r="111" spans="1:50" ht="15.75" customHeight="1" outlineLevel="1" x14ac:dyDescent="0.25">
      <c r="A111" s="18"/>
      <c r="B111" s="121" t="s">
        <v>263</v>
      </c>
      <c r="C111" s="113">
        <v>3000</v>
      </c>
      <c r="D111" s="307">
        <v>-3000</v>
      </c>
      <c r="E111" s="307">
        <v>-3000</v>
      </c>
      <c r="F111" s="307">
        <v>-3000</v>
      </c>
      <c r="G111" s="107">
        <f t="shared" ref="G111:AM111" si="91">-$C111</f>
        <v>-3000</v>
      </c>
      <c r="H111" s="107">
        <f t="shared" si="91"/>
        <v>-3000</v>
      </c>
      <c r="I111" s="107">
        <f t="shared" si="91"/>
        <v>-3000</v>
      </c>
      <c r="J111" s="107">
        <f t="shared" si="91"/>
        <v>-3000</v>
      </c>
      <c r="K111" s="107">
        <f t="shared" si="91"/>
        <v>-3000</v>
      </c>
      <c r="L111" s="107">
        <f t="shared" si="91"/>
        <v>-3000</v>
      </c>
      <c r="M111" s="107">
        <f t="shared" si="91"/>
        <v>-3000</v>
      </c>
      <c r="N111" s="107">
        <f t="shared" si="91"/>
        <v>-3000</v>
      </c>
      <c r="O111" s="308">
        <f t="shared" si="91"/>
        <v>-3000</v>
      </c>
      <c r="P111" s="107">
        <f t="shared" si="91"/>
        <v>-3000</v>
      </c>
      <c r="Q111" s="107">
        <f t="shared" si="91"/>
        <v>-3000</v>
      </c>
      <c r="R111" s="107">
        <f t="shared" si="91"/>
        <v>-3000</v>
      </c>
      <c r="S111" s="107">
        <f t="shared" si="91"/>
        <v>-3000</v>
      </c>
      <c r="T111" s="107">
        <f t="shared" si="91"/>
        <v>-3000</v>
      </c>
      <c r="U111" s="107">
        <f t="shared" si="91"/>
        <v>-3000</v>
      </c>
      <c r="V111" s="107">
        <f t="shared" si="91"/>
        <v>-3000</v>
      </c>
      <c r="W111" s="107">
        <f t="shared" si="91"/>
        <v>-3000</v>
      </c>
      <c r="X111" s="107">
        <f t="shared" si="91"/>
        <v>-3000</v>
      </c>
      <c r="Y111" s="107">
        <f t="shared" si="91"/>
        <v>-3000</v>
      </c>
      <c r="Z111" s="107">
        <f t="shared" si="91"/>
        <v>-3000</v>
      </c>
      <c r="AA111" s="308">
        <f t="shared" si="91"/>
        <v>-3000</v>
      </c>
      <c r="AB111" s="107">
        <f t="shared" si="91"/>
        <v>-3000</v>
      </c>
      <c r="AC111" s="107">
        <f t="shared" si="91"/>
        <v>-3000</v>
      </c>
      <c r="AD111" s="107">
        <f t="shared" si="91"/>
        <v>-3000</v>
      </c>
      <c r="AE111" s="107">
        <f t="shared" si="91"/>
        <v>-3000</v>
      </c>
      <c r="AF111" s="107">
        <f t="shared" si="91"/>
        <v>-3000</v>
      </c>
      <c r="AG111" s="107">
        <f t="shared" si="91"/>
        <v>-3000</v>
      </c>
      <c r="AH111" s="107">
        <f t="shared" si="91"/>
        <v>-3000</v>
      </c>
      <c r="AI111" s="107">
        <f t="shared" si="91"/>
        <v>-3000</v>
      </c>
      <c r="AJ111" s="107">
        <f t="shared" si="91"/>
        <v>-3000</v>
      </c>
      <c r="AK111" s="107">
        <f t="shared" si="91"/>
        <v>-3000</v>
      </c>
      <c r="AL111" s="107">
        <f t="shared" si="91"/>
        <v>-3000</v>
      </c>
      <c r="AM111" s="107">
        <f t="shared" si="91"/>
        <v>-3000</v>
      </c>
      <c r="AN111" s="309">
        <f t="shared" si="87"/>
        <v>-36000</v>
      </c>
      <c r="AO111" s="9"/>
      <c r="AP111" s="9"/>
      <c r="AQ111" s="9"/>
      <c r="AR111" s="9"/>
      <c r="AS111" s="9"/>
      <c r="AT111" s="9"/>
      <c r="AU111" s="9"/>
      <c r="AV111" s="9"/>
      <c r="AW111" s="9"/>
      <c r="AX111" s="9"/>
    </row>
    <row r="112" spans="1:50" ht="15.75" customHeight="1" outlineLevel="1" x14ac:dyDescent="0.25">
      <c r="A112" s="18"/>
      <c r="B112" s="121" t="s">
        <v>264</v>
      </c>
      <c r="C112" s="113">
        <v>53486</v>
      </c>
      <c r="D112" s="307">
        <v>-53486</v>
      </c>
      <c r="E112" s="307">
        <v>-53486</v>
      </c>
      <c r="F112" s="307">
        <v>-53486</v>
      </c>
      <c r="G112" s="107">
        <f t="shared" ref="G112:AM112" si="92">-$C112</f>
        <v>-53486</v>
      </c>
      <c r="H112" s="107">
        <f t="shared" si="92"/>
        <v>-53486</v>
      </c>
      <c r="I112" s="107">
        <f t="shared" si="92"/>
        <v>-53486</v>
      </c>
      <c r="J112" s="107">
        <f t="shared" si="92"/>
        <v>-53486</v>
      </c>
      <c r="K112" s="107">
        <f t="shared" si="92"/>
        <v>-53486</v>
      </c>
      <c r="L112" s="107">
        <f t="shared" si="92"/>
        <v>-53486</v>
      </c>
      <c r="M112" s="107">
        <f t="shared" si="92"/>
        <v>-53486</v>
      </c>
      <c r="N112" s="107">
        <f t="shared" si="92"/>
        <v>-53486</v>
      </c>
      <c r="O112" s="308">
        <f t="shared" si="92"/>
        <v>-53486</v>
      </c>
      <c r="P112" s="107">
        <f t="shared" si="92"/>
        <v>-53486</v>
      </c>
      <c r="Q112" s="107">
        <f t="shared" si="92"/>
        <v>-53486</v>
      </c>
      <c r="R112" s="107">
        <f t="shared" si="92"/>
        <v>-53486</v>
      </c>
      <c r="S112" s="107">
        <f t="shared" si="92"/>
        <v>-53486</v>
      </c>
      <c r="T112" s="107">
        <f t="shared" si="92"/>
        <v>-53486</v>
      </c>
      <c r="U112" s="107">
        <f t="shared" si="92"/>
        <v>-53486</v>
      </c>
      <c r="V112" s="107">
        <f t="shared" si="92"/>
        <v>-53486</v>
      </c>
      <c r="W112" s="107">
        <f t="shared" si="92"/>
        <v>-53486</v>
      </c>
      <c r="X112" s="107">
        <f t="shared" si="92"/>
        <v>-53486</v>
      </c>
      <c r="Y112" s="107">
        <f t="shared" si="92"/>
        <v>-53486</v>
      </c>
      <c r="Z112" s="107">
        <f t="shared" si="92"/>
        <v>-53486</v>
      </c>
      <c r="AA112" s="308">
        <f t="shared" si="92"/>
        <v>-53486</v>
      </c>
      <c r="AB112" s="107">
        <f t="shared" si="92"/>
        <v>-53486</v>
      </c>
      <c r="AC112" s="107">
        <f t="shared" si="92"/>
        <v>-53486</v>
      </c>
      <c r="AD112" s="107">
        <f t="shared" si="92"/>
        <v>-53486</v>
      </c>
      <c r="AE112" s="107">
        <f t="shared" si="92"/>
        <v>-53486</v>
      </c>
      <c r="AF112" s="107">
        <f t="shared" si="92"/>
        <v>-53486</v>
      </c>
      <c r="AG112" s="107">
        <f t="shared" si="92"/>
        <v>-53486</v>
      </c>
      <c r="AH112" s="107">
        <f t="shared" si="92"/>
        <v>-53486</v>
      </c>
      <c r="AI112" s="107">
        <f t="shared" si="92"/>
        <v>-53486</v>
      </c>
      <c r="AJ112" s="107">
        <f t="shared" si="92"/>
        <v>-53486</v>
      </c>
      <c r="AK112" s="107">
        <f t="shared" si="92"/>
        <v>-53486</v>
      </c>
      <c r="AL112" s="107">
        <f t="shared" si="92"/>
        <v>-53486</v>
      </c>
      <c r="AM112" s="107">
        <f t="shared" si="92"/>
        <v>-53486</v>
      </c>
      <c r="AN112" s="309">
        <f t="shared" si="87"/>
        <v>-641832</v>
      </c>
      <c r="AO112" s="9"/>
      <c r="AP112" s="9"/>
      <c r="AQ112" s="9"/>
      <c r="AR112" s="9"/>
      <c r="AS112" s="9"/>
      <c r="AT112" s="9"/>
      <c r="AU112" s="9"/>
      <c r="AV112" s="9"/>
      <c r="AW112" s="9"/>
      <c r="AX112" s="9"/>
    </row>
    <row r="113" spans="1:50" ht="15.75" customHeight="1" outlineLevel="1" x14ac:dyDescent="0.25">
      <c r="A113" s="18"/>
      <c r="B113" s="121" t="s">
        <v>265</v>
      </c>
      <c r="C113" s="113">
        <v>0</v>
      </c>
      <c r="D113" s="307">
        <v>0</v>
      </c>
      <c r="E113" s="307">
        <v>0</v>
      </c>
      <c r="F113" s="307">
        <v>0</v>
      </c>
      <c r="G113" s="107">
        <f t="shared" ref="G113:AM113" si="93">-$C113</f>
        <v>0</v>
      </c>
      <c r="H113" s="107">
        <f t="shared" si="93"/>
        <v>0</v>
      </c>
      <c r="I113" s="107">
        <f t="shared" si="93"/>
        <v>0</v>
      </c>
      <c r="J113" s="107">
        <f t="shared" si="93"/>
        <v>0</v>
      </c>
      <c r="K113" s="107">
        <f t="shared" si="93"/>
        <v>0</v>
      </c>
      <c r="L113" s="107">
        <f t="shared" si="93"/>
        <v>0</v>
      </c>
      <c r="M113" s="107">
        <f t="shared" si="93"/>
        <v>0</v>
      </c>
      <c r="N113" s="107">
        <f t="shared" si="93"/>
        <v>0</v>
      </c>
      <c r="O113" s="308">
        <f t="shared" si="93"/>
        <v>0</v>
      </c>
      <c r="P113" s="107">
        <f t="shared" si="93"/>
        <v>0</v>
      </c>
      <c r="Q113" s="107">
        <f t="shared" si="93"/>
        <v>0</v>
      </c>
      <c r="R113" s="107">
        <f t="shared" si="93"/>
        <v>0</v>
      </c>
      <c r="S113" s="107">
        <f t="shared" si="93"/>
        <v>0</v>
      </c>
      <c r="T113" s="107">
        <f t="shared" si="93"/>
        <v>0</v>
      </c>
      <c r="U113" s="107">
        <f t="shared" si="93"/>
        <v>0</v>
      </c>
      <c r="V113" s="107">
        <f t="shared" si="93"/>
        <v>0</v>
      </c>
      <c r="W113" s="107">
        <f t="shared" si="93"/>
        <v>0</v>
      </c>
      <c r="X113" s="107">
        <f t="shared" si="93"/>
        <v>0</v>
      </c>
      <c r="Y113" s="107">
        <f t="shared" si="93"/>
        <v>0</v>
      </c>
      <c r="Z113" s="107">
        <f t="shared" si="93"/>
        <v>0</v>
      </c>
      <c r="AA113" s="308">
        <f t="shared" si="93"/>
        <v>0</v>
      </c>
      <c r="AB113" s="107">
        <f t="shared" si="93"/>
        <v>0</v>
      </c>
      <c r="AC113" s="107">
        <f t="shared" si="93"/>
        <v>0</v>
      </c>
      <c r="AD113" s="107">
        <f t="shared" si="93"/>
        <v>0</v>
      </c>
      <c r="AE113" s="107">
        <f t="shared" si="93"/>
        <v>0</v>
      </c>
      <c r="AF113" s="107">
        <f t="shared" si="93"/>
        <v>0</v>
      </c>
      <c r="AG113" s="107">
        <f t="shared" si="93"/>
        <v>0</v>
      </c>
      <c r="AH113" s="107">
        <f t="shared" si="93"/>
        <v>0</v>
      </c>
      <c r="AI113" s="107">
        <f t="shared" si="93"/>
        <v>0</v>
      </c>
      <c r="AJ113" s="107">
        <f t="shared" si="93"/>
        <v>0</v>
      </c>
      <c r="AK113" s="107">
        <f t="shared" si="93"/>
        <v>0</v>
      </c>
      <c r="AL113" s="107">
        <f t="shared" si="93"/>
        <v>0</v>
      </c>
      <c r="AM113" s="107">
        <f t="shared" si="93"/>
        <v>0</v>
      </c>
      <c r="AN113" s="309">
        <f t="shared" si="87"/>
        <v>0</v>
      </c>
      <c r="AO113" s="9"/>
      <c r="AP113" s="9"/>
      <c r="AQ113" s="9"/>
      <c r="AR113" s="9"/>
      <c r="AS113" s="9"/>
      <c r="AT113" s="9"/>
      <c r="AU113" s="9"/>
      <c r="AV113" s="9"/>
      <c r="AW113" s="9"/>
      <c r="AX113" s="9"/>
    </row>
    <row r="114" spans="1:50" ht="15.75" customHeight="1" x14ac:dyDescent="0.2">
      <c r="A114" s="18"/>
      <c r="B114" s="122"/>
      <c r="C114" s="123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264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264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8"/>
      <c r="AO114" s="9"/>
      <c r="AP114" s="9"/>
      <c r="AQ114" s="9"/>
      <c r="AR114" s="9"/>
      <c r="AS114" s="9"/>
      <c r="AT114" s="9"/>
      <c r="AU114" s="9"/>
      <c r="AV114" s="9"/>
      <c r="AW114" s="9"/>
      <c r="AX114" s="9"/>
    </row>
    <row r="115" spans="1:50" ht="15.75" customHeight="1" x14ac:dyDescent="0.2">
      <c r="A115" s="16"/>
      <c r="B115" s="103" t="s">
        <v>70</v>
      </c>
      <c r="C115" s="76"/>
      <c r="D115" s="77">
        <f t="shared" ref="D115:AM115" si="94">SUM(D116:D118)</f>
        <v>-42940</v>
      </c>
      <c r="E115" s="77">
        <f t="shared" si="94"/>
        <v>-42940</v>
      </c>
      <c r="F115" s="77">
        <f t="shared" si="94"/>
        <v>-42940</v>
      </c>
      <c r="G115" s="77">
        <f t="shared" si="94"/>
        <v>-42940</v>
      </c>
      <c r="H115" s="77">
        <f t="shared" si="94"/>
        <v>-42940</v>
      </c>
      <c r="I115" s="77">
        <f t="shared" si="94"/>
        <v>-42940</v>
      </c>
      <c r="J115" s="77">
        <f t="shared" si="94"/>
        <v>-42940</v>
      </c>
      <c r="K115" s="77">
        <f t="shared" si="94"/>
        <v>-42940</v>
      </c>
      <c r="L115" s="77">
        <f t="shared" si="94"/>
        <v>-42940</v>
      </c>
      <c r="M115" s="77">
        <f t="shared" si="94"/>
        <v>-42940</v>
      </c>
      <c r="N115" s="77">
        <f t="shared" si="94"/>
        <v>-42940</v>
      </c>
      <c r="O115" s="273">
        <f t="shared" si="94"/>
        <v>-42940</v>
      </c>
      <c r="P115" s="77">
        <f t="shared" si="94"/>
        <v>-42940</v>
      </c>
      <c r="Q115" s="77">
        <f t="shared" si="94"/>
        <v>-42940</v>
      </c>
      <c r="R115" s="77">
        <f t="shared" si="94"/>
        <v>-42940</v>
      </c>
      <c r="S115" s="77">
        <f t="shared" si="94"/>
        <v>-42940</v>
      </c>
      <c r="T115" s="77">
        <f t="shared" si="94"/>
        <v>-42940</v>
      </c>
      <c r="U115" s="77">
        <f t="shared" si="94"/>
        <v>-42940</v>
      </c>
      <c r="V115" s="77">
        <f t="shared" si="94"/>
        <v>-42940</v>
      </c>
      <c r="W115" s="77">
        <f t="shared" si="94"/>
        <v>-42940</v>
      </c>
      <c r="X115" s="77">
        <f t="shared" si="94"/>
        <v>-42940</v>
      </c>
      <c r="Y115" s="77">
        <f t="shared" si="94"/>
        <v>-42940</v>
      </c>
      <c r="Z115" s="77">
        <f t="shared" si="94"/>
        <v>-42940</v>
      </c>
      <c r="AA115" s="273">
        <f t="shared" si="94"/>
        <v>-42940</v>
      </c>
      <c r="AB115" s="77">
        <f t="shared" si="94"/>
        <v>-42940</v>
      </c>
      <c r="AC115" s="77">
        <f t="shared" si="94"/>
        <v>-42940</v>
      </c>
      <c r="AD115" s="77">
        <f t="shared" si="94"/>
        <v>-42940</v>
      </c>
      <c r="AE115" s="77">
        <f t="shared" si="94"/>
        <v>-42940</v>
      </c>
      <c r="AF115" s="77">
        <f t="shared" si="94"/>
        <v>-42940</v>
      </c>
      <c r="AG115" s="77">
        <f t="shared" si="94"/>
        <v>-42940</v>
      </c>
      <c r="AH115" s="77">
        <f t="shared" si="94"/>
        <v>-42940</v>
      </c>
      <c r="AI115" s="77">
        <f t="shared" si="94"/>
        <v>-42940</v>
      </c>
      <c r="AJ115" s="77">
        <f t="shared" si="94"/>
        <v>-42940</v>
      </c>
      <c r="AK115" s="77">
        <f t="shared" si="94"/>
        <v>-42940</v>
      </c>
      <c r="AL115" s="77">
        <f t="shared" si="94"/>
        <v>-42940</v>
      </c>
      <c r="AM115" s="77">
        <f t="shared" si="94"/>
        <v>-42940</v>
      </c>
      <c r="AN115" s="274">
        <f t="shared" ref="AN115:AN118" si="95">SUM(D115:O115)</f>
        <v>-515280</v>
      </c>
      <c r="AO115" s="9"/>
      <c r="AP115" s="9"/>
      <c r="AQ115" s="9"/>
      <c r="AR115" s="9"/>
      <c r="AS115" s="9"/>
      <c r="AT115" s="9"/>
      <c r="AU115" s="9"/>
      <c r="AV115" s="9"/>
      <c r="AW115" s="9"/>
      <c r="AX115" s="9"/>
    </row>
    <row r="116" spans="1:50" ht="15.75" customHeight="1" outlineLevel="1" x14ac:dyDescent="0.25">
      <c r="A116" s="16"/>
      <c r="B116" s="124" t="s">
        <v>71</v>
      </c>
      <c r="C116" s="125">
        <v>12167</v>
      </c>
      <c r="D116" s="161">
        <f t="shared" ref="D116:AM116" si="96">-$C116</f>
        <v>-12167</v>
      </c>
      <c r="E116" s="161">
        <f t="shared" si="96"/>
        <v>-12167</v>
      </c>
      <c r="F116" s="161">
        <f t="shared" si="96"/>
        <v>-12167</v>
      </c>
      <c r="G116" s="51">
        <f t="shared" si="96"/>
        <v>-12167</v>
      </c>
      <c r="H116" s="51">
        <f t="shared" si="96"/>
        <v>-12167</v>
      </c>
      <c r="I116" s="51">
        <f t="shared" si="96"/>
        <v>-12167</v>
      </c>
      <c r="J116" s="51">
        <f t="shared" si="96"/>
        <v>-12167</v>
      </c>
      <c r="K116" s="51">
        <f t="shared" si="96"/>
        <v>-12167</v>
      </c>
      <c r="L116" s="51">
        <f t="shared" si="96"/>
        <v>-12167</v>
      </c>
      <c r="M116" s="51">
        <f t="shared" si="96"/>
        <v>-12167</v>
      </c>
      <c r="N116" s="51">
        <f t="shared" si="96"/>
        <v>-12167</v>
      </c>
      <c r="O116" s="278">
        <f t="shared" si="96"/>
        <v>-12167</v>
      </c>
      <c r="P116" s="51">
        <f t="shared" si="96"/>
        <v>-12167</v>
      </c>
      <c r="Q116" s="51">
        <f t="shared" si="96"/>
        <v>-12167</v>
      </c>
      <c r="R116" s="51">
        <f t="shared" si="96"/>
        <v>-12167</v>
      </c>
      <c r="S116" s="51">
        <f t="shared" si="96"/>
        <v>-12167</v>
      </c>
      <c r="T116" s="51">
        <f t="shared" si="96"/>
        <v>-12167</v>
      </c>
      <c r="U116" s="51">
        <f t="shared" si="96"/>
        <v>-12167</v>
      </c>
      <c r="V116" s="51">
        <f t="shared" si="96"/>
        <v>-12167</v>
      </c>
      <c r="W116" s="51">
        <f t="shared" si="96"/>
        <v>-12167</v>
      </c>
      <c r="X116" s="51">
        <f t="shared" si="96"/>
        <v>-12167</v>
      </c>
      <c r="Y116" s="51">
        <f t="shared" si="96"/>
        <v>-12167</v>
      </c>
      <c r="Z116" s="51">
        <f t="shared" si="96"/>
        <v>-12167</v>
      </c>
      <c r="AA116" s="278">
        <f t="shared" si="96"/>
        <v>-12167</v>
      </c>
      <c r="AB116" s="51">
        <f t="shared" si="96"/>
        <v>-12167</v>
      </c>
      <c r="AC116" s="51">
        <f t="shared" si="96"/>
        <v>-12167</v>
      </c>
      <c r="AD116" s="51">
        <f t="shared" si="96"/>
        <v>-12167</v>
      </c>
      <c r="AE116" s="51">
        <f t="shared" si="96"/>
        <v>-12167</v>
      </c>
      <c r="AF116" s="51">
        <f t="shared" si="96"/>
        <v>-12167</v>
      </c>
      <c r="AG116" s="51">
        <f t="shared" si="96"/>
        <v>-12167</v>
      </c>
      <c r="AH116" s="51">
        <f t="shared" si="96"/>
        <v>-12167</v>
      </c>
      <c r="AI116" s="51">
        <f t="shared" si="96"/>
        <v>-12167</v>
      </c>
      <c r="AJ116" s="51">
        <f t="shared" si="96"/>
        <v>-12167</v>
      </c>
      <c r="AK116" s="51">
        <f t="shared" si="96"/>
        <v>-12167</v>
      </c>
      <c r="AL116" s="51">
        <f t="shared" si="96"/>
        <v>-12167</v>
      </c>
      <c r="AM116" s="51">
        <f t="shared" si="96"/>
        <v>-12167</v>
      </c>
      <c r="AN116" s="315">
        <f t="shared" si="95"/>
        <v>-146004</v>
      </c>
      <c r="AO116" s="9"/>
      <c r="AP116" s="9"/>
      <c r="AQ116" s="9"/>
      <c r="AR116" s="9"/>
      <c r="AS116" s="9"/>
      <c r="AT116" s="9"/>
      <c r="AU116" s="9"/>
      <c r="AV116" s="9"/>
      <c r="AW116" s="9"/>
      <c r="AX116" s="9"/>
    </row>
    <row r="117" spans="1:50" ht="15.75" customHeight="1" outlineLevel="1" x14ac:dyDescent="0.25">
      <c r="A117" s="16"/>
      <c r="B117" s="121" t="s">
        <v>266</v>
      </c>
      <c r="C117" s="125">
        <v>0</v>
      </c>
      <c r="D117" s="161">
        <f t="shared" ref="D117:AM117" si="97">-$C117</f>
        <v>0</v>
      </c>
      <c r="E117" s="161">
        <f t="shared" si="97"/>
        <v>0</v>
      </c>
      <c r="F117" s="161">
        <f t="shared" si="97"/>
        <v>0</v>
      </c>
      <c r="G117" s="51">
        <f t="shared" si="97"/>
        <v>0</v>
      </c>
      <c r="H117" s="51">
        <f t="shared" si="97"/>
        <v>0</v>
      </c>
      <c r="I117" s="51">
        <f t="shared" si="97"/>
        <v>0</v>
      </c>
      <c r="J117" s="51">
        <f t="shared" si="97"/>
        <v>0</v>
      </c>
      <c r="K117" s="51">
        <f t="shared" si="97"/>
        <v>0</v>
      </c>
      <c r="L117" s="51">
        <f t="shared" si="97"/>
        <v>0</v>
      </c>
      <c r="M117" s="51">
        <f t="shared" si="97"/>
        <v>0</v>
      </c>
      <c r="N117" s="51">
        <f t="shared" si="97"/>
        <v>0</v>
      </c>
      <c r="O117" s="278">
        <f t="shared" si="97"/>
        <v>0</v>
      </c>
      <c r="P117" s="51">
        <f t="shared" si="97"/>
        <v>0</v>
      </c>
      <c r="Q117" s="51">
        <f t="shared" si="97"/>
        <v>0</v>
      </c>
      <c r="R117" s="51">
        <f t="shared" si="97"/>
        <v>0</v>
      </c>
      <c r="S117" s="51">
        <f t="shared" si="97"/>
        <v>0</v>
      </c>
      <c r="T117" s="51">
        <f t="shared" si="97"/>
        <v>0</v>
      </c>
      <c r="U117" s="51">
        <f t="shared" si="97"/>
        <v>0</v>
      </c>
      <c r="V117" s="51">
        <f t="shared" si="97"/>
        <v>0</v>
      </c>
      <c r="W117" s="51">
        <f t="shared" si="97"/>
        <v>0</v>
      </c>
      <c r="X117" s="51">
        <f t="shared" si="97"/>
        <v>0</v>
      </c>
      <c r="Y117" s="51">
        <f t="shared" si="97"/>
        <v>0</v>
      </c>
      <c r="Z117" s="51">
        <f t="shared" si="97"/>
        <v>0</v>
      </c>
      <c r="AA117" s="278">
        <f t="shared" si="97"/>
        <v>0</v>
      </c>
      <c r="AB117" s="51">
        <f t="shared" si="97"/>
        <v>0</v>
      </c>
      <c r="AC117" s="51">
        <f t="shared" si="97"/>
        <v>0</v>
      </c>
      <c r="AD117" s="51">
        <f t="shared" si="97"/>
        <v>0</v>
      </c>
      <c r="AE117" s="51">
        <f t="shared" si="97"/>
        <v>0</v>
      </c>
      <c r="AF117" s="51">
        <f t="shared" si="97"/>
        <v>0</v>
      </c>
      <c r="AG117" s="51">
        <f t="shared" si="97"/>
        <v>0</v>
      </c>
      <c r="AH117" s="51">
        <f t="shared" si="97"/>
        <v>0</v>
      </c>
      <c r="AI117" s="51">
        <f t="shared" si="97"/>
        <v>0</v>
      </c>
      <c r="AJ117" s="51">
        <f t="shared" si="97"/>
        <v>0</v>
      </c>
      <c r="AK117" s="51">
        <f t="shared" si="97"/>
        <v>0</v>
      </c>
      <c r="AL117" s="51">
        <f t="shared" si="97"/>
        <v>0</v>
      </c>
      <c r="AM117" s="51">
        <f t="shared" si="97"/>
        <v>0</v>
      </c>
      <c r="AN117" s="315">
        <f t="shared" si="95"/>
        <v>0</v>
      </c>
      <c r="AO117" s="9"/>
      <c r="AP117" s="9"/>
      <c r="AQ117" s="9"/>
      <c r="AR117" s="9"/>
      <c r="AS117" s="9"/>
      <c r="AT117" s="9"/>
      <c r="AU117" s="9"/>
      <c r="AV117" s="9"/>
      <c r="AW117" s="9"/>
      <c r="AX117" s="9"/>
    </row>
    <row r="118" spans="1:50" ht="15.75" customHeight="1" outlineLevel="1" x14ac:dyDescent="0.25">
      <c r="A118" s="120"/>
      <c r="B118" s="126" t="s">
        <v>267</v>
      </c>
      <c r="C118" s="125">
        <v>30773</v>
      </c>
      <c r="D118" s="161">
        <f t="shared" ref="D118:AM118" si="98">-$C118</f>
        <v>-30773</v>
      </c>
      <c r="E118" s="161">
        <f t="shared" si="98"/>
        <v>-30773</v>
      </c>
      <c r="F118" s="161">
        <f t="shared" si="98"/>
        <v>-30773</v>
      </c>
      <c r="G118" s="51">
        <f t="shared" si="98"/>
        <v>-30773</v>
      </c>
      <c r="H118" s="51">
        <f t="shared" si="98"/>
        <v>-30773</v>
      </c>
      <c r="I118" s="51">
        <f t="shared" si="98"/>
        <v>-30773</v>
      </c>
      <c r="J118" s="51">
        <f t="shared" si="98"/>
        <v>-30773</v>
      </c>
      <c r="K118" s="51">
        <f t="shared" si="98"/>
        <v>-30773</v>
      </c>
      <c r="L118" s="51">
        <f t="shared" si="98"/>
        <v>-30773</v>
      </c>
      <c r="M118" s="51">
        <f t="shared" si="98"/>
        <v>-30773</v>
      </c>
      <c r="N118" s="51">
        <f t="shared" si="98"/>
        <v>-30773</v>
      </c>
      <c r="O118" s="278">
        <f t="shared" si="98"/>
        <v>-30773</v>
      </c>
      <c r="P118" s="51">
        <f t="shared" si="98"/>
        <v>-30773</v>
      </c>
      <c r="Q118" s="51">
        <f t="shared" si="98"/>
        <v>-30773</v>
      </c>
      <c r="R118" s="51">
        <f t="shared" si="98"/>
        <v>-30773</v>
      </c>
      <c r="S118" s="51">
        <f t="shared" si="98"/>
        <v>-30773</v>
      </c>
      <c r="T118" s="51">
        <f t="shared" si="98"/>
        <v>-30773</v>
      </c>
      <c r="U118" s="51">
        <f t="shared" si="98"/>
        <v>-30773</v>
      </c>
      <c r="V118" s="51">
        <f t="shared" si="98"/>
        <v>-30773</v>
      </c>
      <c r="W118" s="51">
        <f t="shared" si="98"/>
        <v>-30773</v>
      </c>
      <c r="X118" s="51">
        <f t="shared" si="98"/>
        <v>-30773</v>
      </c>
      <c r="Y118" s="51">
        <f t="shared" si="98"/>
        <v>-30773</v>
      </c>
      <c r="Z118" s="51">
        <f t="shared" si="98"/>
        <v>-30773</v>
      </c>
      <c r="AA118" s="278">
        <f t="shared" si="98"/>
        <v>-30773</v>
      </c>
      <c r="AB118" s="51">
        <f t="shared" si="98"/>
        <v>-30773</v>
      </c>
      <c r="AC118" s="51">
        <f t="shared" si="98"/>
        <v>-30773</v>
      </c>
      <c r="AD118" s="51">
        <f t="shared" si="98"/>
        <v>-30773</v>
      </c>
      <c r="AE118" s="51">
        <f t="shared" si="98"/>
        <v>-30773</v>
      </c>
      <c r="AF118" s="51">
        <f t="shared" si="98"/>
        <v>-30773</v>
      </c>
      <c r="AG118" s="51">
        <f t="shared" si="98"/>
        <v>-30773</v>
      </c>
      <c r="AH118" s="51">
        <f t="shared" si="98"/>
        <v>-30773</v>
      </c>
      <c r="AI118" s="51">
        <f t="shared" si="98"/>
        <v>-30773</v>
      </c>
      <c r="AJ118" s="51">
        <f t="shared" si="98"/>
        <v>-30773</v>
      </c>
      <c r="AK118" s="51">
        <f t="shared" si="98"/>
        <v>-30773</v>
      </c>
      <c r="AL118" s="51">
        <f t="shared" si="98"/>
        <v>-30773</v>
      </c>
      <c r="AM118" s="51">
        <f t="shared" si="98"/>
        <v>-30773</v>
      </c>
      <c r="AN118" s="315">
        <f t="shared" si="95"/>
        <v>-369276</v>
      </c>
      <c r="AO118" s="9"/>
      <c r="AP118" s="9"/>
      <c r="AQ118" s="9"/>
      <c r="AR118" s="9"/>
      <c r="AS118" s="9"/>
      <c r="AT118" s="9"/>
      <c r="AU118" s="9"/>
      <c r="AV118" s="9"/>
      <c r="AW118" s="9"/>
      <c r="AX118" s="9"/>
    </row>
    <row r="119" spans="1:50" ht="18" customHeight="1" x14ac:dyDescent="0.2">
      <c r="A119" s="120"/>
      <c r="B119" s="127"/>
      <c r="C119" s="127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264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264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8"/>
      <c r="AO119" s="9"/>
      <c r="AP119" s="9"/>
      <c r="AQ119" s="9"/>
      <c r="AR119" s="9"/>
      <c r="AS119" s="9"/>
      <c r="AT119" s="9"/>
      <c r="AU119" s="9"/>
      <c r="AV119" s="9"/>
      <c r="AW119" s="9"/>
      <c r="AX119" s="9"/>
    </row>
    <row r="120" spans="1:50" ht="16.5" customHeight="1" x14ac:dyDescent="0.2">
      <c r="A120" s="18"/>
      <c r="B120" s="316" t="s">
        <v>268</v>
      </c>
      <c r="C120" s="129"/>
      <c r="D120" s="130">
        <f t="shared" ref="D120:AM120" si="99">D96+D104+D115</f>
        <v>758652.07200000016</v>
      </c>
      <c r="E120" s="130">
        <f t="shared" si="99"/>
        <v>361297.28480000014</v>
      </c>
      <c r="F120" s="130">
        <f t="shared" si="99"/>
        <v>1147775.6008000001</v>
      </c>
      <c r="G120" s="130">
        <f t="shared" si="99"/>
        <v>771996.44880000013</v>
      </c>
      <c r="H120" s="130">
        <f t="shared" si="99"/>
        <v>1369371.3140035844</v>
      </c>
      <c r="I120" s="130">
        <f t="shared" si="99"/>
        <v>1369371.3140035844</v>
      </c>
      <c r="J120" s="130">
        <f t="shared" si="99"/>
        <v>1369371.3140035844</v>
      </c>
      <c r="K120" s="130">
        <f t="shared" si="99"/>
        <v>1369371.3140035844</v>
      </c>
      <c r="L120" s="130">
        <f t="shared" si="99"/>
        <v>1369371.3140035844</v>
      </c>
      <c r="M120" s="130">
        <f t="shared" si="99"/>
        <v>1369371.3140035844</v>
      </c>
      <c r="N120" s="130">
        <f t="shared" si="99"/>
        <v>1468877.3666477313</v>
      </c>
      <c r="O120" s="317">
        <f t="shared" si="99"/>
        <v>3135838.6283626761</v>
      </c>
      <c r="P120" s="130">
        <f t="shared" si="99"/>
        <v>1550487.304616014</v>
      </c>
      <c r="Q120" s="130">
        <f t="shared" si="99"/>
        <v>746517.19886368653</v>
      </c>
      <c r="R120" s="130">
        <f t="shared" si="99"/>
        <v>1874665.7979854406</v>
      </c>
      <c r="S120" s="130">
        <f t="shared" si="99"/>
        <v>1369371.3140035844</v>
      </c>
      <c r="T120" s="130">
        <f t="shared" si="99"/>
        <v>1369371.3140035844</v>
      </c>
      <c r="U120" s="130">
        <f t="shared" si="99"/>
        <v>1369371.3140035844</v>
      </c>
      <c r="V120" s="130">
        <f t="shared" si="99"/>
        <v>1369371.3140035844</v>
      </c>
      <c r="W120" s="130">
        <f t="shared" si="99"/>
        <v>1369371.3140035844</v>
      </c>
      <c r="X120" s="130">
        <f t="shared" si="99"/>
        <v>1369371.3140035844</v>
      </c>
      <c r="Y120" s="130">
        <f t="shared" si="99"/>
        <v>1369371.3140035844</v>
      </c>
      <c r="Z120" s="130">
        <f t="shared" si="99"/>
        <v>1468877.3666477313</v>
      </c>
      <c r="AA120" s="317">
        <f t="shared" si="99"/>
        <v>3135838.6283626761</v>
      </c>
      <c r="AB120" s="130">
        <f t="shared" si="99"/>
        <v>1550487.304616014</v>
      </c>
      <c r="AC120" s="130">
        <f t="shared" si="99"/>
        <v>746517.19886368653</v>
      </c>
      <c r="AD120" s="130">
        <f t="shared" si="99"/>
        <v>1874665.7979854406</v>
      </c>
      <c r="AE120" s="130">
        <f t="shared" si="99"/>
        <v>1369371.3140035844</v>
      </c>
      <c r="AF120" s="130">
        <f t="shared" si="99"/>
        <v>1369371.3140035844</v>
      </c>
      <c r="AG120" s="130">
        <f t="shared" si="99"/>
        <v>1369371.3140035844</v>
      </c>
      <c r="AH120" s="130">
        <f t="shared" si="99"/>
        <v>1369371.3140035844</v>
      </c>
      <c r="AI120" s="130">
        <f t="shared" si="99"/>
        <v>1369371.3140035844</v>
      </c>
      <c r="AJ120" s="130">
        <f t="shared" si="99"/>
        <v>1369371.3140035844</v>
      </c>
      <c r="AK120" s="130">
        <f t="shared" si="99"/>
        <v>1369371.3140035844</v>
      </c>
      <c r="AL120" s="130">
        <f t="shared" si="99"/>
        <v>1468877.3666477313</v>
      </c>
      <c r="AM120" s="130">
        <f t="shared" si="99"/>
        <v>3135838.6283626761</v>
      </c>
      <c r="AN120" s="318">
        <f>SUM(D120:O120)</f>
        <v>15860665.285431918</v>
      </c>
      <c r="AO120" s="9"/>
      <c r="AP120" s="9"/>
      <c r="AQ120" s="9"/>
      <c r="AR120" s="9"/>
      <c r="AS120" s="9"/>
      <c r="AT120" s="9"/>
      <c r="AU120" s="9"/>
      <c r="AV120" s="9"/>
      <c r="AW120" s="9"/>
      <c r="AX120" s="9"/>
    </row>
    <row r="121" spans="1:50" ht="15.75" customHeight="1" x14ac:dyDescent="0.2">
      <c r="A121" s="131"/>
      <c r="B121" s="132" t="s">
        <v>73</v>
      </c>
      <c r="C121" s="133"/>
      <c r="D121" s="98">
        <f t="shared" ref="D121:AM121" si="100">IFERROR(D120/D15,0)</f>
        <v>0.32863563281625657</v>
      </c>
      <c r="E121" s="98">
        <f t="shared" si="100"/>
        <v>0.23324309419657391</v>
      </c>
      <c r="F121" s="98">
        <f t="shared" si="100"/>
        <v>0.33816678382056453</v>
      </c>
      <c r="G121" s="98">
        <f t="shared" si="100"/>
        <v>0.32179645313650868</v>
      </c>
      <c r="H121" s="98">
        <f t="shared" si="100"/>
        <v>0.37982888164404638</v>
      </c>
      <c r="I121" s="98">
        <f t="shared" si="100"/>
        <v>0.37982888164404638</v>
      </c>
      <c r="J121" s="98">
        <f t="shared" si="100"/>
        <v>0.37982888164404638</v>
      </c>
      <c r="K121" s="98">
        <f t="shared" si="100"/>
        <v>0.37982888164404638</v>
      </c>
      <c r="L121" s="98">
        <f t="shared" si="100"/>
        <v>0.37982888164404638</v>
      </c>
      <c r="M121" s="98">
        <f t="shared" si="100"/>
        <v>0.37982888164404638</v>
      </c>
      <c r="N121" s="98">
        <f t="shared" si="100"/>
        <v>0.38629560079607939</v>
      </c>
      <c r="O121" s="303">
        <f t="shared" si="100"/>
        <v>0.43578836076851157</v>
      </c>
      <c r="P121" s="98">
        <f t="shared" si="100"/>
        <v>0.39173277166488318</v>
      </c>
      <c r="Q121" s="98">
        <f t="shared" si="100"/>
        <v>0.31375080616970752</v>
      </c>
      <c r="R121" s="98">
        <f t="shared" si="100"/>
        <v>0.38858614208586889</v>
      </c>
      <c r="S121" s="98">
        <f t="shared" si="100"/>
        <v>0.37982888164404638</v>
      </c>
      <c r="T121" s="98">
        <f t="shared" si="100"/>
        <v>0.37982888164404638</v>
      </c>
      <c r="U121" s="98">
        <f t="shared" si="100"/>
        <v>0.37982888164404638</v>
      </c>
      <c r="V121" s="98">
        <f t="shared" si="100"/>
        <v>0.37982888164404638</v>
      </c>
      <c r="W121" s="98">
        <f t="shared" si="100"/>
        <v>0.37982888164404638</v>
      </c>
      <c r="X121" s="98">
        <f t="shared" si="100"/>
        <v>0.37982888164404638</v>
      </c>
      <c r="Y121" s="98">
        <f t="shared" si="100"/>
        <v>0.37982888164404638</v>
      </c>
      <c r="Z121" s="98">
        <f t="shared" si="100"/>
        <v>0.38629560079607939</v>
      </c>
      <c r="AA121" s="303">
        <f t="shared" si="100"/>
        <v>0.43578836076851157</v>
      </c>
      <c r="AB121" s="98">
        <f t="shared" si="100"/>
        <v>0.39173277166488318</v>
      </c>
      <c r="AC121" s="98">
        <f t="shared" si="100"/>
        <v>0.31375080616970752</v>
      </c>
      <c r="AD121" s="98">
        <f t="shared" si="100"/>
        <v>0.38858614208586889</v>
      </c>
      <c r="AE121" s="98">
        <f t="shared" si="100"/>
        <v>0.37982888164404638</v>
      </c>
      <c r="AF121" s="98">
        <f t="shared" si="100"/>
        <v>0.37982888164404638</v>
      </c>
      <c r="AG121" s="98">
        <f t="shared" si="100"/>
        <v>0.37982888164404638</v>
      </c>
      <c r="AH121" s="98">
        <f t="shared" si="100"/>
        <v>0.37982888164404638</v>
      </c>
      <c r="AI121" s="98">
        <f t="shared" si="100"/>
        <v>0.37982888164404638</v>
      </c>
      <c r="AJ121" s="98">
        <f t="shared" si="100"/>
        <v>0.37982888164404638</v>
      </c>
      <c r="AK121" s="98">
        <f t="shared" si="100"/>
        <v>0.37982888164404638</v>
      </c>
      <c r="AL121" s="98">
        <f t="shared" si="100"/>
        <v>0.38629560079607939</v>
      </c>
      <c r="AM121" s="98">
        <f t="shared" si="100"/>
        <v>0.43578836076851157</v>
      </c>
      <c r="AN121" s="304">
        <f>IFERROR(AN120/AN$10,0)</f>
        <v>0.37513147142218745</v>
      </c>
      <c r="AO121" s="9"/>
      <c r="AP121" s="9"/>
      <c r="AQ121" s="9"/>
      <c r="AR121" s="9"/>
      <c r="AS121" s="9"/>
      <c r="AT121" s="9"/>
      <c r="AU121" s="9"/>
      <c r="AV121" s="9"/>
      <c r="AW121" s="9"/>
      <c r="AX121" s="9"/>
    </row>
    <row r="122" spans="1:50" ht="7.5" customHeight="1" x14ac:dyDescent="0.2">
      <c r="A122" s="120"/>
      <c r="B122" s="127"/>
      <c r="C122" s="127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264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264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8"/>
      <c r="AO122" s="9"/>
      <c r="AP122" s="9"/>
      <c r="AQ122" s="9"/>
      <c r="AR122" s="9"/>
      <c r="AS122" s="9"/>
      <c r="AT122" s="9"/>
      <c r="AU122" s="9"/>
      <c r="AV122" s="9"/>
      <c r="AW122" s="9"/>
      <c r="AX122" s="9"/>
    </row>
    <row r="123" spans="1:50" ht="15.75" customHeight="1" x14ac:dyDescent="0.2">
      <c r="A123" s="18"/>
      <c r="B123" s="103" t="s">
        <v>74</v>
      </c>
      <c r="C123" s="103"/>
      <c r="D123" s="77">
        <f t="shared" ref="D123:AN123" si="101">D125+D131</f>
        <v>-17107</v>
      </c>
      <c r="E123" s="77">
        <f t="shared" si="101"/>
        <v>-360665</v>
      </c>
      <c r="F123" s="77">
        <f t="shared" si="101"/>
        <v>-544684</v>
      </c>
      <c r="G123" s="77">
        <f t="shared" si="101"/>
        <v>-620478.12469682377</v>
      </c>
      <c r="H123" s="77">
        <f t="shared" si="101"/>
        <v>-535478.12469682377</v>
      </c>
      <c r="I123" s="77">
        <f t="shared" si="101"/>
        <v>-691793.24939364754</v>
      </c>
      <c r="J123" s="77">
        <f t="shared" si="101"/>
        <v>-691793.24939364754</v>
      </c>
      <c r="K123" s="77">
        <f t="shared" si="101"/>
        <v>-691793.24939364754</v>
      </c>
      <c r="L123" s="77">
        <f t="shared" si="101"/>
        <v>-691793.24939364754</v>
      </c>
      <c r="M123" s="77">
        <f t="shared" si="101"/>
        <v>-691793.24939364754</v>
      </c>
      <c r="N123" s="77">
        <f t="shared" si="101"/>
        <v>-740143.09006833029</v>
      </c>
      <c r="O123" s="273">
        <f t="shared" si="101"/>
        <v>-1572137.0710508833</v>
      </c>
      <c r="P123" s="77">
        <f t="shared" si="101"/>
        <v>-785106.82648774376</v>
      </c>
      <c r="Q123" s="77">
        <f t="shared" si="101"/>
        <v>-373733.76866423897</v>
      </c>
      <c r="R123" s="77">
        <f t="shared" si="101"/>
        <v>-916276.81488820701</v>
      </c>
      <c r="S123" s="77">
        <f t="shared" si="101"/>
        <v>-691793.24939364754</v>
      </c>
      <c r="T123" s="77">
        <f t="shared" si="101"/>
        <v>-691793.24939364754</v>
      </c>
      <c r="U123" s="77">
        <f t="shared" si="101"/>
        <v>-691793.24939364754</v>
      </c>
      <c r="V123" s="77">
        <f t="shared" si="101"/>
        <v>-691793.24939364754</v>
      </c>
      <c r="W123" s="77">
        <f t="shared" si="101"/>
        <v>-691793.24939364754</v>
      </c>
      <c r="X123" s="77">
        <f t="shared" si="101"/>
        <v>-691793.24939364754</v>
      </c>
      <c r="Y123" s="77">
        <f t="shared" si="101"/>
        <v>-691793.24939364754</v>
      </c>
      <c r="Z123" s="77">
        <f t="shared" si="101"/>
        <v>-740143.09006833029</v>
      </c>
      <c r="AA123" s="273">
        <f t="shared" si="101"/>
        <v>-1572137.0710508833</v>
      </c>
      <c r="AB123" s="77">
        <f t="shared" si="101"/>
        <v>-785106.82648774376</v>
      </c>
      <c r="AC123" s="77">
        <f t="shared" si="101"/>
        <v>-373733.76866423897</v>
      </c>
      <c r="AD123" s="77">
        <f t="shared" si="101"/>
        <v>-916276.81488820701</v>
      </c>
      <c r="AE123" s="77">
        <f t="shared" si="101"/>
        <v>-691793.24939364754</v>
      </c>
      <c r="AF123" s="77">
        <f t="shared" si="101"/>
        <v>-691793.24939364754</v>
      </c>
      <c r="AG123" s="77">
        <f t="shared" si="101"/>
        <v>-691793.24939364754</v>
      </c>
      <c r="AH123" s="77">
        <f t="shared" si="101"/>
        <v>-691793.24939364754</v>
      </c>
      <c r="AI123" s="77">
        <f t="shared" si="101"/>
        <v>-691793.24939364754</v>
      </c>
      <c r="AJ123" s="77">
        <f t="shared" si="101"/>
        <v>-691793.24939364754</v>
      </c>
      <c r="AK123" s="77">
        <f t="shared" si="101"/>
        <v>-691793.24939364754</v>
      </c>
      <c r="AL123" s="77">
        <f t="shared" si="101"/>
        <v>-740143.09006833029</v>
      </c>
      <c r="AM123" s="77">
        <f t="shared" si="101"/>
        <v>-1572137.0710508833</v>
      </c>
      <c r="AN123" s="274">
        <f t="shared" si="101"/>
        <v>-7849658.6574810985</v>
      </c>
      <c r="AO123" s="9"/>
      <c r="AP123" s="9"/>
      <c r="AQ123" s="9"/>
      <c r="AR123" s="9"/>
      <c r="AS123" s="9"/>
      <c r="AT123" s="9"/>
      <c r="AU123" s="9"/>
      <c r="AV123" s="9"/>
      <c r="AW123" s="9"/>
      <c r="AX123" s="9"/>
    </row>
    <row r="124" spans="1:50" ht="15.75" customHeight="1" x14ac:dyDescent="0.2">
      <c r="A124" s="25"/>
      <c r="B124" s="134"/>
      <c r="C124" s="134"/>
      <c r="D124" s="72"/>
      <c r="E124" s="72"/>
      <c r="F124" s="72"/>
      <c r="G124" s="72"/>
      <c r="H124" s="72"/>
      <c r="I124" s="72"/>
      <c r="J124" s="72"/>
      <c r="K124" s="72"/>
      <c r="L124" s="72"/>
      <c r="M124" s="72"/>
      <c r="N124" s="72"/>
      <c r="O124" s="291"/>
      <c r="P124" s="72"/>
      <c r="Q124" s="72"/>
      <c r="R124" s="72"/>
      <c r="S124" s="72"/>
      <c r="T124" s="72"/>
      <c r="U124" s="72"/>
      <c r="V124" s="72"/>
      <c r="W124" s="72"/>
      <c r="X124" s="72"/>
      <c r="Y124" s="72"/>
      <c r="Z124" s="72"/>
      <c r="AA124" s="291"/>
      <c r="AB124" s="72"/>
      <c r="AC124" s="72"/>
      <c r="AD124" s="72"/>
      <c r="AE124" s="72"/>
      <c r="AF124" s="72"/>
      <c r="AG124" s="72"/>
      <c r="AH124" s="72"/>
      <c r="AI124" s="72"/>
      <c r="AJ124" s="72"/>
      <c r="AK124" s="72"/>
      <c r="AL124" s="72"/>
      <c r="AM124" s="72"/>
      <c r="AN124" s="246"/>
      <c r="AO124" s="9"/>
      <c r="AP124" s="9"/>
      <c r="AQ124" s="9"/>
      <c r="AR124" s="9"/>
      <c r="AS124" s="9"/>
      <c r="AT124" s="9"/>
      <c r="AU124" s="9"/>
      <c r="AV124" s="9"/>
      <c r="AW124" s="9"/>
      <c r="AX124" s="9"/>
    </row>
    <row r="125" spans="1:50" ht="15.75" customHeight="1" x14ac:dyDescent="0.2">
      <c r="A125" s="18"/>
      <c r="B125" s="135" t="s">
        <v>75</v>
      </c>
      <c r="C125" s="136"/>
      <c r="D125" s="136">
        <f t="shared" ref="D125:AM125" si="102">SUM(D126:D129)</f>
        <v>-17107</v>
      </c>
      <c r="E125" s="136">
        <f t="shared" si="102"/>
        <v>-100665</v>
      </c>
      <c r="F125" s="136">
        <f t="shared" si="102"/>
        <v>-116029</v>
      </c>
      <c r="G125" s="136">
        <f t="shared" si="102"/>
        <v>-103229</v>
      </c>
      <c r="H125" s="136">
        <f t="shared" si="102"/>
        <v>-18229</v>
      </c>
      <c r="I125" s="136">
        <f t="shared" si="102"/>
        <v>-18229</v>
      </c>
      <c r="J125" s="136">
        <f t="shared" si="102"/>
        <v>-18229</v>
      </c>
      <c r="K125" s="136">
        <f t="shared" si="102"/>
        <v>-18229</v>
      </c>
      <c r="L125" s="136">
        <f t="shared" si="102"/>
        <v>-18229</v>
      </c>
      <c r="M125" s="136">
        <f t="shared" si="102"/>
        <v>-18229</v>
      </c>
      <c r="N125" s="136">
        <f t="shared" si="102"/>
        <v>-18229</v>
      </c>
      <c r="O125" s="319">
        <f t="shared" si="102"/>
        <v>-18229</v>
      </c>
      <c r="P125" s="136">
        <f t="shared" si="102"/>
        <v>-18229</v>
      </c>
      <c r="Q125" s="136">
        <f t="shared" si="102"/>
        <v>-18229</v>
      </c>
      <c r="R125" s="136">
        <f t="shared" si="102"/>
        <v>-18229</v>
      </c>
      <c r="S125" s="136">
        <f t="shared" si="102"/>
        <v>-18229</v>
      </c>
      <c r="T125" s="136">
        <f t="shared" si="102"/>
        <v>-18229</v>
      </c>
      <c r="U125" s="136">
        <f t="shared" si="102"/>
        <v>-18229</v>
      </c>
      <c r="V125" s="136">
        <f t="shared" si="102"/>
        <v>-18229</v>
      </c>
      <c r="W125" s="136">
        <f t="shared" si="102"/>
        <v>-18229</v>
      </c>
      <c r="X125" s="136">
        <f t="shared" si="102"/>
        <v>-18229</v>
      </c>
      <c r="Y125" s="136">
        <f t="shared" si="102"/>
        <v>-18229</v>
      </c>
      <c r="Z125" s="136">
        <f t="shared" si="102"/>
        <v>-18229</v>
      </c>
      <c r="AA125" s="319">
        <f t="shared" si="102"/>
        <v>-18229</v>
      </c>
      <c r="AB125" s="136">
        <f t="shared" si="102"/>
        <v>-18229</v>
      </c>
      <c r="AC125" s="136">
        <f t="shared" si="102"/>
        <v>-18229</v>
      </c>
      <c r="AD125" s="136">
        <f t="shared" si="102"/>
        <v>-18229</v>
      </c>
      <c r="AE125" s="136">
        <f t="shared" si="102"/>
        <v>-18229</v>
      </c>
      <c r="AF125" s="136">
        <f t="shared" si="102"/>
        <v>-18229</v>
      </c>
      <c r="AG125" s="136">
        <f t="shared" si="102"/>
        <v>-18229</v>
      </c>
      <c r="AH125" s="136">
        <f t="shared" si="102"/>
        <v>-18229</v>
      </c>
      <c r="AI125" s="136">
        <f t="shared" si="102"/>
        <v>-18229</v>
      </c>
      <c r="AJ125" s="136">
        <f t="shared" si="102"/>
        <v>-18229</v>
      </c>
      <c r="AK125" s="136">
        <f t="shared" si="102"/>
        <v>-18229</v>
      </c>
      <c r="AL125" s="136">
        <f t="shared" si="102"/>
        <v>-18229</v>
      </c>
      <c r="AM125" s="136">
        <f t="shared" si="102"/>
        <v>-18229</v>
      </c>
      <c r="AN125" s="320">
        <f>SUM(D125:O125)</f>
        <v>-482862</v>
      </c>
      <c r="AO125" s="9"/>
      <c r="AP125" s="9"/>
      <c r="AQ125" s="9"/>
      <c r="AR125" s="9"/>
      <c r="AS125" s="9"/>
      <c r="AT125" s="9"/>
      <c r="AU125" s="9"/>
      <c r="AV125" s="9"/>
      <c r="AW125" s="9"/>
      <c r="AX125" s="9"/>
    </row>
    <row r="126" spans="1:50" ht="15.75" customHeight="1" outlineLevel="1" x14ac:dyDescent="0.25">
      <c r="A126" s="18"/>
      <c r="B126" s="137" t="s">
        <v>76</v>
      </c>
      <c r="C126" s="125">
        <v>85000</v>
      </c>
      <c r="D126" s="249"/>
      <c r="E126" s="249">
        <f t="shared" ref="E126:G126" si="103">-$C126</f>
        <v>-85000</v>
      </c>
      <c r="F126" s="249">
        <f t="shared" si="103"/>
        <v>-85000</v>
      </c>
      <c r="G126" s="5">
        <f t="shared" si="103"/>
        <v>-85000</v>
      </c>
      <c r="H126" s="6">
        <v>0</v>
      </c>
      <c r="I126" s="6">
        <v>0</v>
      </c>
      <c r="J126" s="6">
        <v>0</v>
      </c>
      <c r="K126" s="6">
        <v>0</v>
      </c>
      <c r="L126" s="6">
        <v>0</v>
      </c>
      <c r="M126" s="6">
        <v>0</v>
      </c>
      <c r="N126" s="6">
        <v>0</v>
      </c>
      <c r="O126" s="321">
        <v>0</v>
      </c>
      <c r="P126" s="6">
        <v>0</v>
      </c>
      <c r="Q126" s="6">
        <v>0</v>
      </c>
      <c r="R126" s="6">
        <v>0</v>
      </c>
      <c r="S126" s="6">
        <v>0</v>
      </c>
      <c r="T126" s="6">
        <v>0</v>
      </c>
      <c r="U126" s="6">
        <v>0</v>
      </c>
      <c r="V126" s="6">
        <v>0</v>
      </c>
      <c r="W126" s="6">
        <v>0</v>
      </c>
      <c r="X126" s="6">
        <v>0</v>
      </c>
      <c r="Y126" s="6">
        <v>0</v>
      </c>
      <c r="Z126" s="6">
        <v>0</v>
      </c>
      <c r="AA126" s="321">
        <v>0</v>
      </c>
      <c r="AB126" s="6">
        <v>0</v>
      </c>
      <c r="AC126" s="6">
        <v>0</v>
      </c>
      <c r="AD126" s="6">
        <v>0</v>
      </c>
      <c r="AE126" s="6">
        <v>0</v>
      </c>
      <c r="AF126" s="6">
        <v>0</v>
      </c>
      <c r="AG126" s="6">
        <v>0</v>
      </c>
      <c r="AH126" s="6">
        <v>0</v>
      </c>
      <c r="AI126" s="6">
        <v>0</v>
      </c>
      <c r="AJ126" s="6">
        <v>0</v>
      </c>
      <c r="AK126" s="6">
        <v>0</v>
      </c>
      <c r="AL126" s="6">
        <v>0</v>
      </c>
      <c r="AM126" s="6">
        <v>0</v>
      </c>
      <c r="AN126" s="8"/>
      <c r="AO126" s="9"/>
      <c r="AP126" s="9"/>
      <c r="AQ126" s="9"/>
      <c r="AR126" s="9"/>
      <c r="AS126" s="9"/>
      <c r="AT126" s="9"/>
      <c r="AU126" s="9"/>
      <c r="AV126" s="9"/>
      <c r="AW126" s="9"/>
      <c r="AX126" s="9"/>
    </row>
    <row r="127" spans="1:50" ht="15.75" customHeight="1" outlineLevel="1" x14ac:dyDescent="0.25">
      <c r="A127" s="18"/>
      <c r="B127" s="137" t="s">
        <v>77</v>
      </c>
      <c r="C127" s="125">
        <v>8400</v>
      </c>
      <c r="D127" s="125">
        <v>-7278</v>
      </c>
      <c r="E127" s="125">
        <v>-5836</v>
      </c>
      <c r="F127" s="125">
        <v>-21200</v>
      </c>
      <c r="G127" s="5">
        <f t="shared" ref="G127:AM127" si="104">-$C127</f>
        <v>-8400</v>
      </c>
      <c r="H127" s="5">
        <f t="shared" si="104"/>
        <v>-8400</v>
      </c>
      <c r="I127" s="5">
        <f t="shared" si="104"/>
        <v>-8400</v>
      </c>
      <c r="J127" s="5">
        <f t="shared" si="104"/>
        <v>-8400</v>
      </c>
      <c r="K127" s="5">
        <f t="shared" si="104"/>
        <v>-8400</v>
      </c>
      <c r="L127" s="5">
        <f t="shared" si="104"/>
        <v>-8400</v>
      </c>
      <c r="M127" s="5">
        <f t="shared" si="104"/>
        <v>-8400</v>
      </c>
      <c r="N127" s="5">
        <f t="shared" si="104"/>
        <v>-8400</v>
      </c>
      <c r="O127" s="264">
        <f t="shared" si="104"/>
        <v>-8400</v>
      </c>
      <c r="P127" s="5">
        <f t="shared" si="104"/>
        <v>-8400</v>
      </c>
      <c r="Q127" s="5">
        <f t="shared" si="104"/>
        <v>-8400</v>
      </c>
      <c r="R127" s="5">
        <f t="shared" si="104"/>
        <v>-8400</v>
      </c>
      <c r="S127" s="5">
        <f t="shared" si="104"/>
        <v>-8400</v>
      </c>
      <c r="T127" s="5">
        <f t="shared" si="104"/>
        <v>-8400</v>
      </c>
      <c r="U127" s="5">
        <f t="shared" si="104"/>
        <v>-8400</v>
      </c>
      <c r="V127" s="5">
        <f t="shared" si="104"/>
        <v>-8400</v>
      </c>
      <c r="W127" s="5">
        <f t="shared" si="104"/>
        <v>-8400</v>
      </c>
      <c r="X127" s="5">
        <f t="shared" si="104"/>
        <v>-8400</v>
      </c>
      <c r="Y127" s="5">
        <f t="shared" si="104"/>
        <v>-8400</v>
      </c>
      <c r="Z127" s="5">
        <f t="shared" si="104"/>
        <v>-8400</v>
      </c>
      <c r="AA127" s="264">
        <f t="shared" si="104"/>
        <v>-8400</v>
      </c>
      <c r="AB127" s="5">
        <f t="shared" si="104"/>
        <v>-8400</v>
      </c>
      <c r="AC127" s="5">
        <f t="shared" si="104"/>
        <v>-8400</v>
      </c>
      <c r="AD127" s="5">
        <f t="shared" si="104"/>
        <v>-8400</v>
      </c>
      <c r="AE127" s="5">
        <f t="shared" si="104"/>
        <v>-8400</v>
      </c>
      <c r="AF127" s="5">
        <f t="shared" si="104"/>
        <v>-8400</v>
      </c>
      <c r="AG127" s="5">
        <f t="shared" si="104"/>
        <v>-8400</v>
      </c>
      <c r="AH127" s="5">
        <f t="shared" si="104"/>
        <v>-8400</v>
      </c>
      <c r="AI127" s="5">
        <f t="shared" si="104"/>
        <v>-8400</v>
      </c>
      <c r="AJ127" s="5">
        <f t="shared" si="104"/>
        <v>-8400</v>
      </c>
      <c r="AK127" s="5">
        <f t="shared" si="104"/>
        <v>-8400</v>
      </c>
      <c r="AL127" s="5">
        <f t="shared" si="104"/>
        <v>-8400</v>
      </c>
      <c r="AM127" s="5">
        <f t="shared" si="104"/>
        <v>-8400</v>
      </c>
      <c r="AN127" s="8"/>
      <c r="AO127" s="9"/>
      <c r="AP127" s="9"/>
      <c r="AQ127" s="9"/>
      <c r="AR127" s="9"/>
      <c r="AS127" s="9"/>
      <c r="AT127" s="9"/>
      <c r="AU127" s="9"/>
      <c r="AV127" s="9"/>
      <c r="AW127" s="9"/>
      <c r="AX127" s="9"/>
    </row>
    <row r="128" spans="1:50" ht="15.75" customHeight="1" outlineLevel="1" x14ac:dyDescent="0.25">
      <c r="A128" s="18"/>
      <c r="B128" s="138" t="s">
        <v>78</v>
      </c>
      <c r="C128" s="125">
        <v>2029</v>
      </c>
      <c r="D128" s="249">
        <f t="shared" ref="D128:AM128" si="105">-$C128</f>
        <v>-2029</v>
      </c>
      <c r="E128" s="249">
        <f t="shared" si="105"/>
        <v>-2029</v>
      </c>
      <c r="F128" s="249">
        <f t="shared" si="105"/>
        <v>-2029</v>
      </c>
      <c r="G128" s="5">
        <f t="shared" si="105"/>
        <v>-2029</v>
      </c>
      <c r="H128" s="5">
        <f t="shared" si="105"/>
        <v>-2029</v>
      </c>
      <c r="I128" s="5">
        <f t="shared" si="105"/>
        <v>-2029</v>
      </c>
      <c r="J128" s="5">
        <f t="shared" si="105"/>
        <v>-2029</v>
      </c>
      <c r="K128" s="5">
        <f t="shared" si="105"/>
        <v>-2029</v>
      </c>
      <c r="L128" s="5">
        <f t="shared" si="105"/>
        <v>-2029</v>
      </c>
      <c r="M128" s="5">
        <f t="shared" si="105"/>
        <v>-2029</v>
      </c>
      <c r="N128" s="5">
        <f t="shared" si="105"/>
        <v>-2029</v>
      </c>
      <c r="O128" s="264">
        <f t="shared" si="105"/>
        <v>-2029</v>
      </c>
      <c r="P128" s="5">
        <f t="shared" si="105"/>
        <v>-2029</v>
      </c>
      <c r="Q128" s="5">
        <f t="shared" si="105"/>
        <v>-2029</v>
      </c>
      <c r="R128" s="5">
        <f t="shared" si="105"/>
        <v>-2029</v>
      </c>
      <c r="S128" s="5">
        <f t="shared" si="105"/>
        <v>-2029</v>
      </c>
      <c r="T128" s="5">
        <f t="shared" si="105"/>
        <v>-2029</v>
      </c>
      <c r="U128" s="5">
        <f t="shared" si="105"/>
        <v>-2029</v>
      </c>
      <c r="V128" s="5">
        <f t="shared" si="105"/>
        <v>-2029</v>
      </c>
      <c r="W128" s="5">
        <f t="shared" si="105"/>
        <v>-2029</v>
      </c>
      <c r="X128" s="5">
        <f t="shared" si="105"/>
        <v>-2029</v>
      </c>
      <c r="Y128" s="5">
        <f t="shared" si="105"/>
        <v>-2029</v>
      </c>
      <c r="Z128" s="5">
        <f t="shared" si="105"/>
        <v>-2029</v>
      </c>
      <c r="AA128" s="264">
        <f t="shared" si="105"/>
        <v>-2029</v>
      </c>
      <c r="AB128" s="5">
        <f t="shared" si="105"/>
        <v>-2029</v>
      </c>
      <c r="AC128" s="5">
        <f t="shared" si="105"/>
        <v>-2029</v>
      </c>
      <c r="AD128" s="5">
        <f t="shared" si="105"/>
        <v>-2029</v>
      </c>
      <c r="AE128" s="5">
        <f t="shared" si="105"/>
        <v>-2029</v>
      </c>
      <c r="AF128" s="5">
        <f t="shared" si="105"/>
        <v>-2029</v>
      </c>
      <c r="AG128" s="5">
        <f t="shared" si="105"/>
        <v>-2029</v>
      </c>
      <c r="AH128" s="5">
        <f t="shared" si="105"/>
        <v>-2029</v>
      </c>
      <c r="AI128" s="5">
        <f t="shared" si="105"/>
        <v>-2029</v>
      </c>
      <c r="AJ128" s="5">
        <f t="shared" si="105"/>
        <v>-2029</v>
      </c>
      <c r="AK128" s="5">
        <f t="shared" si="105"/>
        <v>-2029</v>
      </c>
      <c r="AL128" s="5">
        <f t="shared" si="105"/>
        <v>-2029</v>
      </c>
      <c r="AM128" s="5">
        <f t="shared" si="105"/>
        <v>-2029</v>
      </c>
      <c r="AN128" s="8"/>
      <c r="AO128" s="9"/>
      <c r="AP128" s="9"/>
      <c r="AQ128" s="9"/>
      <c r="AR128" s="9"/>
      <c r="AS128" s="9"/>
      <c r="AT128" s="9"/>
      <c r="AU128" s="9"/>
      <c r="AV128" s="9"/>
      <c r="AW128" s="9"/>
      <c r="AX128" s="9"/>
    </row>
    <row r="129" spans="1:50" ht="15.75" customHeight="1" outlineLevel="1" x14ac:dyDescent="0.25">
      <c r="A129" s="18"/>
      <c r="B129" s="138" t="s">
        <v>79</v>
      </c>
      <c r="C129" s="125">
        <v>7800</v>
      </c>
      <c r="D129" s="249">
        <f t="shared" ref="D129:AM129" si="106">-$C129</f>
        <v>-7800</v>
      </c>
      <c r="E129" s="249">
        <f t="shared" si="106"/>
        <v>-7800</v>
      </c>
      <c r="F129" s="249">
        <f t="shared" si="106"/>
        <v>-7800</v>
      </c>
      <c r="G129" s="5">
        <f t="shared" si="106"/>
        <v>-7800</v>
      </c>
      <c r="H129" s="5">
        <f t="shared" si="106"/>
        <v>-7800</v>
      </c>
      <c r="I129" s="5">
        <f t="shared" si="106"/>
        <v>-7800</v>
      </c>
      <c r="J129" s="5">
        <f t="shared" si="106"/>
        <v>-7800</v>
      </c>
      <c r="K129" s="5">
        <f t="shared" si="106"/>
        <v>-7800</v>
      </c>
      <c r="L129" s="5">
        <f t="shared" si="106"/>
        <v>-7800</v>
      </c>
      <c r="M129" s="5">
        <f t="shared" si="106"/>
        <v>-7800</v>
      </c>
      <c r="N129" s="5">
        <f t="shared" si="106"/>
        <v>-7800</v>
      </c>
      <c r="O129" s="264">
        <f t="shared" si="106"/>
        <v>-7800</v>
      </c>
      <c r="P129" s="5">
        <f t="shared" si="106"/>
        <v>-7800</v>
      </c>
      <c r="Q129" s="5">
        <f t="shared" si="106"/>
        <v>-7800</v>
      </c>
      <c r="R129" s="5">
        <f t="shared" si="106"/>
        <v>-7800</v>
      </c>
      <c r="S129" s="5">
        <f t="shared" si="106"/>
        <v>-7800</v>
      </c>
      <c r="T129" s="5">
        <f t="shared" si="106"/>
        <v>-7800</v>
      </c>
      <c r="U129" s="5">
        <f t="shared" si="106"/>
        <v>-7800</v>
      </c>
      <c r="V129" s="5">
        <f t="shared" si="106"/>
        <v>-7800</v>
      </c>
      <c r="W129" s="5">
        <f t="shared" si="106"/>
        <v>-7800</v>
      </c>
      <c r="X129" s="5">
        <f t="shared" si="106"/>
        <v>-7800</v>
      </c>
      <c r="Y129" s="5">
        <f t="shared" si="106"/>
        <v>-7800</v>
      </c>
      <c r="Z129" s="5">
        <f t="shared" si="106"/>
        <v>-7800</v>
      </c>
      <c r="AA129" s="264">
        <f t="shared" si="106"/>
        <v>-7800</v>
      </c>
      <c r="AB129" s="5">
        <f t="shared" si="106"/>
        <v>-7800</v>
      </c>
      <c r="AC129" s="5">
        <f t="shared" si="106"/>
        <v>-7800</v>
      </c>
      <c r="AD129" s="5">
        <f t="shared" si="106"/>
        <v>-7800</v>
      </c>
      <c r="AE129" s="5">
        <f t="shared" si="106"/>
        <v>-7800</v>
      </c>
      <c r="AF129" s="5">
        <f t="shared" si="106"/>
        <v>-7800</v>
      </c>
      <c r="AG129" s="5">
        <f t="shared" si="106"/>
        <v>-7800</v>
      </c>
      <c r="AH129" s="5">
        <f t="shared" si="106"/>
        <v>-7800</v>
      </c>
      <c r="AI129" s="5">
        <f t="shared" si="106"/>
        <v>-7800</v>
      </c>
      <c r="AJ129" s="5">
        <f t="shared" si="106"/>
        <v>-7800</v>
      </c>
      <c r="AK129" s="5">
        <f t="shared" si="106"/>
        <v>-7800</v>
      </c>
      <c r="AL129" s="5">
        <f t="shared" si="106"/>
        <v>-7800</v>
      </c>
      <c r="AM129" s="5">
        <f t="shared" si="106"/>
        <v>-7800</v>
      </c>
      <c r="AN129" s="8"/>
      <c r="AO129" s="9"/>
      <c r="AP129" s="9"/>
      <c r="AQ129" s="9"/>
      <c r="AR129" s="9"/>
      <c r="AS129" s="9"/>
      <c r="AT129" s="9"/>
      <c r="AU129" s="9"/>
      <c r="AV129" s="9"/>
      <c r="AW129" s="9"/>
      <c r="AX129" s="9"/>
    </row>
    <row r="130" spans="1:50" ht="15.75" customHeight="1" x14ac:dyDescent="0.2">
      <c r="A130" s="1"/>
      <c r="B130" s="24"/>
      <c r="C130" s="22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264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264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8"/>
      <c r="AO130" s="9"/>
      <c r="AP130" s="9"/>
      <c r="AQ130" s="9"/>
      <c r="AR130" s="9"/>
      <c r="AS130" s="9"/>
      <c r="AT130" s="9"/>
      <c r="AU130" s="9"/>
      <c r="AV130" s="9"/>
      <c r="AW130" s="9"/>
      <c r="AX130" s="9"/>
    </row>
    <row r="131" spans="1:50" ht="15.75" customHeight="1" x14ac:dyDescent="0.2">
      <c r="A131" s="18"/>
      <c r="B131" s="135" t="s">
        <v>80</v>
      </c>
      <c r="C131" s="136"/>
      <c r="D131" s="136">
        <f t="shared" ref="D131:AM131" si="107">D132+D133</f>
        <v>0</v>
      </c>
      <c r="E131" s="136">
        <f t="shared" si="107"/>
        <v>-260000</v>
      </c>
      <c r="F131" s="136">
        <f t="shared" si="107"/>
        <v>-428655</v>
      </c>
      <c r="G131" s="136">
        <f t="shared" si="107"/>
        <v>-517249.12469682377</v>
      </c>
      <c r="H131" s="136">
        <f t="shared" si="107"/>
        <v>-517249.12469682377</v>
      </c>
      <c r="I131" s="136">
        <f t="shared" si="107"/>
        <v>-673564.24939364754</v>
      </c>
      <c r="J131" s="136">
        <f t="shared" si="107"/>
        <v>-673564.24939364754</v>
      </c>
      <c r="K131" s="136">
        <f t="shared" si="107"/>
        <v>-673564.24939364754</v>
      </c>
      <c r="L131" s="136">
        <f t="shared" si="107"/>
        <v>-673564.24939364754</v>
      </c>
      <c r="M131" s="136">
        <f t="shared" si="107"/>
        <v>-673564.24939364754</v>
      </c>
      <c r="N131" s="136">
        <f t="shared" si="107"/>
        <v>-721914.09006833029</v>
      </c>
      <c r="O131" s="136">
        <f t="shared" si="107"/>
        <v>-1553908.0710508833</v>
      </c>
      <c r="P131" s="136">
        <f t="shared" si="107"/>
        <v>-766877.82648774376</v>
      </c>
      <c r="Q131" s="136">
        <f t="shared" si="107"/>
        <v>-355504.76866423897</v>
      </c>
      <c r="R131" s="136">
        <f t="shared" si="107"/>
        <v>-898047.81488820701</v>
      </c>
      <c r="S131" s="136">
        <f t="shared" si="107"/>
        <v>-673564.24939364754</v>
      </c>
      <c r="T131" s="136">
        <f t="shared" si="107"/>
        <v>-673564.24939364754</v>
      </c>
      <c r="U131" s="136">
        <f t="shared" si="107"/>
        <v>-673564.24939364754</v>
      </c>
      <c r="V131" s="136">
        <f t="shared" si="107"/>
        <v>-673564.24939364754</v>
      </c>
      <c r="W131" s="136">
        <f t="shared" si="107"/>
        <v>-673564.24939364754</v>
      </c>
      <c r="X131" s="136">
        <f t="shared" si="107"/>
        <v>-673564.24939364754</v>
      </c>
      <c r="Y131" s="136">
        <f t="shared" si="107"/>
        <v>-673564.24939364754</v>
      </c>
      <c r="Z131" s="136">
        <f t="shared" si="107"/>
        <v>-721914.09006833029</v>
      </c>
      <c r="AA131" s="319">
        <f t="shared" si="107"/>
        <v>-1553908.0710508833</v>
      </c>
      <c r="AB131" s="136">
        <f t="shared" si="107"/>
        <v>-766877.82648774376</v>
      </c>
      <c r="AC131" s="136">
        <f t="shared" si="107"/>
        <v>-355504.76866423897</v>
      </c>
      <c r="AD131" s="136">
        <f t="shared" si="107"/>
        <v>-898047.81488820701</v>
      </c>
      <c r="AE131" s="136">
        <f t="shared" si="107"/>
        <v>-673564.24939364754</v>
      </c>
      <c r="AF131" s="136">
        <f t="shared" si="107"/>
        <v>-673564.24939364754</v>
      </c>
      <c r="AG131" s="136">
        <f t="shared" si="107"/>
        <v>-673564.24939364754</v>
      </c>
      <c r="AH131" s="136">
        <f t="shared" si="107"/>
        <v>-673564.24939364754</v>
      </c>
      <c r="AI131" s="136">
        <f t="shared" si="107"/>
        <v>-673564.24939364754</v>
      </c>
      <c r="AJ131" s="136">
        <f t="shared" si="107"/>
        <v>-673564.24939364754</v>
      </c>
      <c r="AK131" s="136">
        <f t="shared" si="107"/>
        <v>-673564.24939364754</v>
      </c>
      <c r="AL131" s="136">
        <f t="shared" si="107"/>
        <v>-721914.09006833029</v>
      </c>
      <c r="AM131" s="136">
        <f t="shared" si="107"/>
        <v>-1553908.0710508833</v>
      </c>
      <c r="AN131" s="136">
        <f>SUM(D131:O131)</f>
        <v>-7366796.6574810985</v>
      </c>
      <c r="AO131" s="9"/>
      <c r="AP131" s="9"/>
      <c r="AQ131" s="9"/>
      <c r="AR131" s="9"/>
      <c r="AS131" s="9"/>
      <c r="AT131" s="9"/>
      <c r="AU131" s="9"/>
      <c r="AV131" s="9"/>
      <c r="AW131" s="9"/>
      <c r="AX131" s="9"/>
    </row>
    <row r="132" spans="1:50" ht="15.75" customHeight="1" x14ac:dyDescent="0.2">
      <c r="A132" s="18"/>
      <c r="B132" s="139" t="s">
        <v>269</v>
      </c>
      <c r="C132" s="125">
        <f t="shared" ref="C132:C133" si="108">127</f>
        <v>127</v>
      </c>
      <c r="D132" s="125">
        <v>0</v>
      </c>
      <c r="E132" s="249">
        <f>-260000</f>
        <v>-260000</v>
      </c>
      <c r="F132" s="125">
        <v>-428655</v>
      </c>
      <c r="G132" s="6">
        <f t="shared" ref="G132:AM132" si="109">-$C132*(G36+G48)</f>
        <v>-360934</v>
      </c>
      <c r="H132" s="6">
        <f t="shared" si="109"/>
        <v>-360934</v>
      </c>
      <c r="I132" s="6">
        <f t="shared" si="109"/>
        <v>-360934</v>
      </c>
      <c r="J132" s="6">
        <f t="shared" si="109"/>
        <v>-360934</v>
      </c>
      <c r="K132" s="6">
        <f t="shared" si="109"/>
        <v>-360934</v>
      </c>
      <c r="L132" s="6">
        <f t="shared" si="109"/>
        <v>-360934</v>
      </c>
      <c r="M132" s="6">
        <f t="shared" si="109"/>
        <v>-360934</v>
      </c>
      <c r="N132" s="6">
        <f t="shared" si="109"/>
        <v>-388747</v>
      </c>
      <c r="O132" s="321">
        <f t="shared" si="109"/>
        <v>-835152</v>
      </c>
      <c r="P132" s="6">
        <f t="shared" si="109"/>
        <v>-410464</v>
      </c>
      <c r="Q132" s="6">
        <f t="shared" si="109"/>
        <v>-191135</v>
      </c>
      <c r="R132" s="6">
        <f t="shared" si="109"/>
        <v>-480949</v>
      </c>
      <c r="S132" s="6">
        <f t="shared" si="109"/>
        <v>-360934</v>
      </c>
      <c r="T132" s="6">
        <f t="shared" si="109"/>
        <v>-360934</v>
      </c>
      <c r="U132" s="6">
        <f t="shared" si="109"/>
        <v>-360934</v>
      </c>
      <c r="V132" s="6">
        <f t="shared" si="109"/>
        <v>-360934</v>
      </c>
      <c r="W132" s="6">
        <f t="shared" si="109"/>
        <v>-360934</v>
      </c>
      <c r="X132" s="6">
        <f t="shared" si="109"/>
        <v>-360934</v>
      </c>
      <c r="Y132" s="6">
        <f t="shared" si="109"/>
        <v>-360934</v>
      </c>
      <c r="Z132" s="6">
        <f t="shared" si="109"/>
        <v>-388747</v>
      </c>
      <c r="AA132" s="321">
        <f t="shared" si="109"/>
        <v>-835152</v>
      </c>
      <c r="AB132" s="6">
        <f t="shared" si="109"/>
        <v>-410464</v>
      </c>
      <c r="AC132" s="6">
        <f t="shared" si="109"/>
        <v>-191135</v>
      </c>
      <c r="AD132" s="6">
        <f t="shared" si="109"/>
        <v>-480949</v>
      </c>
      <c r="AE132" s="6">
        <f t="shared" si="109"/>
        <v>-360934</v>
      </c>
      <c r="AF132" s="6">
        <f t="shared" si="109"/>
        <v>-360934</v>
      </c>
      <c r="AG132" s="6">
        <f t="shared" si="109"/>
        <v>-360934</v>
      </c>
      <c r="AH132" s="6">
        <f t="shared" si="109"/>
        <v>-360934</v>
      </c>
      <c r="AI132" s="6">
        <f t="shared" si="109"/>
        <v>-360934</v>
      </c>
      <c r="AJ132" s="6">
        <f t="shared" si="109"/>
        <v>-360934</v>
      </c>
      <c r="AK132" s="6">
        <f t="shared" si="109"/>
        <v>-360934</v>
      </c>
      <c r="AL132" s="6">
        <f t="shared" si="109"/>
        <v>-388747</v>
      </c>
      <c r="AM132" s="6">
        <f t="shared" si="109"/>
        <v>-835152</v>
      </c>
      <c r="AN132" s="8"/>
      <c r="AO132" s="9"/>
      <c r="AP132" s="9"/>
      <c r="AQ132" s="9"/>
      <c r="AR132" s="9"/>
      <c r="AS132" s="9"/>
      <c r="AT132" s="9"/>
      <c r="AU132" s="9"/>
      <c r="AV132" s="9"/>
      <c r="AW132" s="9"/>
      <c r="AX132" s="9"/>
    </row>
    <row r="133" spans="1:50" ht="15.75" customHeight="1" x14ac:dyDescent="0.2">
      <c r="A133" s="18"/>
      <c r="B133" s="140" t="s">
        <v>270</v>
      </c>
      <c r="C133" s="125">
        <f t="shared" si="108"/>
        <v>127</v>
      </c>
      <c r="D133" s="111"/>
      <c r="E133" s="111"/>
      <c r="F133" s="111"/>
      <c r="G133" s="141">
        <f>H133</f>
        <v>-156315.1246968238</v>
      </c>
      <c r="H133" s="141">
        <f>-$C133*H61/2</f>
        <v>-156315.1246968238</v>
      </c>
      <c r="I133" s="141">
        <f>-C133*J61</f>
        <v>-312630.24939364759</v>
      </c>
      <c r="J133" s="141">
        <f t="shared" ref="J133:AM133" si="110">-$C133*J61</f>
        <v>-312630.24939364759</v>
      </c>
      <c r="K133" s="141">
        <f t="shared" si="110"/>
        <v>-312630.24939364759</v>
      </c>
      <c r="L133" s="141">
        <f t="shared" si="110"/>
        <v>-312630.24939364759</v>
      </c>
      <c r="M133" s="141">
        <f t="shared" si="110"/>
        <v>-312630.24939364759</v>
      </c>
      <c r="N133" s="141">
        <f t="shared" si="110"/>
        <v>-333167.09006833023</v>
      </c>
      <c r="O133" s="322">
        <f t="shared" si="110"/>
        <v>-718756.07105088315</v>
      </c>
      <c r="P133" s="141">
        <f t="shared" si="110"/>
        <v>-356413.82648774376</v>
      </c>
      <c r="Q133" s="141">
        <f t="shared" si="110"/>
        <v>-164369.76866423895</v>
      </c>
      <c r="R133" s="141">
        <f t="shared" si="110"/>
        <v>-417098.81488820695</v>
      </c>
      <c r="S133" s="141">
        <f t="shared" si="110"/>
        <v>-312630.24939364759</v>
      </c>
      <c r="T133" s="141">
        <f t="shared" si="110"/>
        <v>-312630.24939364759</v>
      </c>
      <c r="U133" s="141">
        <f t="shared" si="110"/>
        <v>-312630.24939364759</v>
      </c>
      <c r="V133" s="141">
        <f t="shared" si="110"/>
        <v>-312630.24939364759</v>
      </c>
      <c r="W133" s="141">
        <f t="shared" si="110"/>
        <v>-312630.24939364759</v>
      </c>
      <c r="X133" s="141">
        <f t="shared" si="110"/>
        <v>-312630.24939364759</v>
      </c>
      <c r="Y133" s="141">
        <f t="shared" si="110"/>
        <v>-312630.24939364759</v>
      </c>
      <c r="Z133" s="141">
        <f t="shared" si="110"/>
        <v>-333167.09006833023</v>
      </c>
      <c r="AA133" s="322">
        <f t="shared" si="110"/>
        <v>-718756.07105088315</v>
      </c>
      <c r="AB133" s="141">
        <f t="shared" si="110"/>
        <v>-356413.82648774376</v>
      </c>
      <c r="AC133" s="141">
        <f t="shared" si="110"/>
        <v>-164369.76866423895</v>
      </c>
      <c r="AD133" s="141">
        <f t="shared" si="110"/>
        <v>-417098.81488820695</v>
      </c>
      <c r="AE133" s="141">
        <f t="shared" si="110"/>
        <v>-312630.24939364759</v>
      </c>
      <c r="AF133" s="141">
        <f t="shared" si="110"/>
        <v>-312630.24939364759</v>
      </c>
      <c r="AG133" s="141">
        <f t="shared" si="110"/>
        <v>-312630.24939364759</v>
      </c>
      <c r="AH133" s="141">
        <f t="shared" si="110"/>
        <v>-312630.24939364759</v>
      </c>
      <c r="AI133" s="141">
        <f t="shared" si="110"/>
        <v>-312630.24939364759</v>
      </c>
      <c r="AJ133" s="141">
        <f t="shared" si="110"/>
        <v>-312630.24939364759</v>
      </c>
      <c r="AK133" s="141">
        <f t="shared" si="110"/>
        <v>-312630.24939364759</v>
      </c>
      <c r="AL133" s="141">
        <f t="shared" si="110"/>
        <v>-333167.09006833023</v>
      </c>
      <c r="AM133" s="141">
        <f t="shared" si="110"/>
        <v>-718756.07105088315</v>
      </c>
      <c r="AN133" s="8"/>
      <c r="AO133" s="9"/>
      <c r="AP133" s="9"/>
      <c r="AQ133" s="9"/>
      <c r="AR133" s="9"/>
      <c r="AS133" s="9"/>
      <c r="AT133" s="9"/>
      <c r="AU133" s="9"/>
      <c r="AV133" s="9"/>
      <c r="AW133" s="9"/>
      <c r="AX133" s="9"/>
    </row>
    <row r="134" spans="1:50" ht="15.75" customHeight="1" x14ac:dyDescent="0.2">
      <c r="A134" s="18"/>
      <c r="B134" s="140" t="s">
        <v>271</v>
      </c>
      <c r="C134" s="141"/>
      <c r="D134" s="111">
        <f t="shared" ref="D134:AM134" si="111">-D132/(D28+D40)</f>
        <v>0</v>
      </c>
      <c r="E134" s="111">
        <f t="shared" si="111"/>
        <v>0.39164943158110382</v>
      </c>
      <c r="F134" s="111">
        <f t="shared" si="111"/>
        <v>0.22267583991422418</v>
      </c>
      <c r="G134" s="111">
        <f t="shared" si="111"/>
        <v>0.24078640141963201</v>
      </c>
      <c r="H134" s="111">
        <f t="shared" si="111"/>
        <v>0.24078640141963201</v>
      </c>
      <c r="I134" s="111">
        <f t="shared" si="111"/>
        <v>0.24078640141963201</v>
      </c>
      <c r="J134" s="111">
        <f t="shared" si="111"/>
        <v>0.24078640141963201</v>
      </c>
      <c r="K134" s="111">
        <f t="shared" si="111"/>
        <v>0.24078640141963201</v>
      </c>
      <c r="L134" s="111">
        <f t="shared" si="111"/>
        <v>0.24078640141963201</v>
      </c>
      <c r="M134" s="111">
        <f t="shared" si="111"/>
        <v>0.24078640141963201</v>
      </c>
      <c r="N134" s="111">
        <f t="shared" si="111"/>
        <v>0.23963445831406996</v>
      </c>
      <c r="O134" s="323">
        <f t="shared" si="111"/>
        <v>0.24005518827249209</v>
      </c>
      <c r="P134" s="111">
        <f t="shared" si="111"/>
        <v>0.2410297364588716</v>
      </c>
      <c r="Q134" s="111">
        <f t="shared" si="111"/>
        <v>0.24004395604395604</v>
      </c>
      <c r="R134" s="111">
        <f t="shared" si="111"/>
        <v>0.24089968794923039</v>
      </c>
      <c r="S134" s="111">
        <f t="shared" si="111"/>
        <v>0.24078640141963201</v>
      </c>
      <c r="T134" s="111">
        <f t="shared" si="111"/>
        <v>0.24078640141963201</v>
      </c>
      <c r="U134" s="111">
        <f t="shared" si="111"/>
        <v>0.24078640141963201</v>
      </c>
      <c r="V134" s="111">
        <f t="shared" si="111"/>
        <v>0.24078640141963201</v>
      </c>
      <c r="W134" s="111">
        <f t="shared" si="111"/>
        <v>0.24078640141963201</v>
      </c>
      <c r="X134" s="111">
        <f t="shared" si="111"/>
        <v>0.24078640141963201</v>
      </c>
      <c r="Y134" s="111">
        <f t="shared" si="111"/>
        <v>0.24078640141963201</v>
      </c>
      <c r="Z134" s="111">
        <f t="shared" si="111"/>
        <v>0.23963445831406996</v>
      </c>
      <c r="AA134" s="323">
        <f t="shared" si="111"/>
        <v>0.24005518827249209</v>
      </c>
      <c r="AB134" s="111">
        <f t="shared" si="111"/>
        <v>0.2410297364588716</v>
      </c>
      <c r="AC134" s="111">
        <f t="shared" si="111"/>
        <v>0.24004395604395604</v>
      </c>
      <c r="AD134" s="111">
        <f t="shared" si="111"/>
        <v>0.24089968794923039</v>
      </c>
      <c r="AE134" s="111">
        <f t="shared" si="111"/>
        <v>0.24078640141963201</v>
      </c>
      <c r="AF134" s="111">
        <f t="shared" si="111"/>
        <v>0.24078640141963201</v>
      </c>
      <c r="AG134" s="111">
        <f t="shared" si="111"/>
        <v>0.24078640141963201</v>
      </c>
      <c r="AH134" s="111">
        <f t="shared" si="111"/>
        <v>0.24078640141963201</v>
      </c>
      <c r="AI134" s="111">
        <f t="shared" si="111"/>
        <v>0.24078640141963201</v>
      </c>
      <c r="AJ134" s="111">
        <f t="shared" si="111"/>
        <v>0.24078640141963201</v>
      </c>
      <c r="AK134" s="111">
        <f t="shared" si="111"/>
        <v>0.24078640141963201</v>
      </c>
      <c r="AL134" s="111">
        <f t="shared" si="111"/>
        <v>0.23963445831406996</v>
      </c>
      <c r="AM134" s="111">
        <f t="shared" si="111"/>
        <v>0.24005518827249209</v>
      </c>
      <c r="AN134" s="8"/>
      <c r="AO134" s="9"/>
      <c r="AP134" s="9"/>
      <c r="AQ134" s="9"/>
      <c r="AR134" s="9"/>
      <c r="AS134" s="9"/>
      <c r="AT134" s="9"/>
      <c r="AU134" s="9"/>
      <c r="AV134" s="9"/>
      <c r="AW134" s="9"/>
      <c r="AX134" s="9"/>
    </row>
    <row r="135" spans="1:50" ht="15.75" customHeight="1" x14ac:dyDescent="0.2">
      <c r="A135" s="18"/>
      <c r="B135" s="140" t="s">
        <v>272</v>
      </c>
      <c r="C135" s="5"/>
      <c r="D135" s="5"/>
      <c r="E135" s="5"/>
      <c r="F135" s="5"/>
      <c r="G135" s="324" t="e">
        <f>G133/G52</f>
        <v>#DIV/0!</v>
      </c>
      <c r="H135" s="111">
        <f t="shared" ref="H135:AM135" si="112">-H133/H52</f>
        <v>0.12959183673469388</v>
      </c>
      <c r="I135" s="111">
        <f t="shared" si="112"/>
        <v>0.25918367346938775</v>
      </c>
      <c r="J135" s="111">
        <f t="shared" si="112"/>
        <v>0.25918367346938775</v>
      </c>
      <c r="K135" s="111">
        <f t="shared" si="112"/>
        <v>0.25918367346938775</v>
      </c>
      <c r="L135" s="111">
        <f t="shared" si="112"/>
        <v>0.25918367346938775</v>
      </c>
      <c r="M135" s="111">
        <f t="shared" si="112"/>
        <v>0.25918367346938775</v>
      </c>
      <c r="N135" s="111">
        <f t="shared" si="112"/>
        <v>0.25918367346938775</v>
      </c>
      <c r="O135" s="323">
        <f t="shared" si="112"/>
        <v>0.25918367346938775</v>
      </c>
      <c r="P135" s="111">
        <f t="shared" si="112"/>
        <v>0.25918367346938775</v>
      </c>
      <c r="Q135" s="111">
        <f t="shared" si="112"/>
        <v>0.25918367346938775</v>
      </c>
      <c r="R135" s="111">
        <f t="shared" si="112"/>
        <v>0.25918367346938775</v>
      </c>
      <c r="S135" s="111">
        <f t="shared" si="112"/>
        <v>0.25918367346938775</v>
      </c>
      <c r="T135" s="111">
        <f t="shared" si="112"/>
        <v>0.25918367346938775</v>
      </c>
      <c r="U135" s="111">
        <f t="shared" si="112"/>
        <v>0.25918367346938775</v>
      </c>
      <c r="V135" s="111">
        <f t="shared" si="112"/>
        <v>0.25918367346938775</v>
      </c>
      <c r="W135" s="111">
        <f t="shared" si="112"/>
        <v>0.25918367346938775</v>
      </c>
      <c r="X135" s="111">
        <f t="shared" si="112"/>
        <v>0.25918367346938775</v>
      </c>
      <c r="Y135" s="111">
        <f t="shared" si="112"/>
        <v>0.25918367346938775</v>
      </c>
      <c r="Z135" s="111">
        <f t="shared" si="112"/>
        <v>0.25918367346938775</v>
      </c>
      <c r="AA135" s="323">
        <f t="shared" si="112"/>
        <v>0.25918367346938775</v>
      </c>
      <c r="AB135" s="111">
        <f t="shared" si="112"/>
        <v>0.25918367346938775</v>
      </c>
      <c r="AC135" s="111">
        <f t="shared" si="112"/>
        <v>0.25918367346938775</v>
      </c>
      <c r="AD135" s="111">
        <f t="shared" si="112"/>
        <v>0.25918367346938775</v>
      </c>
      <c r="AE135" s="111">
        <f t="shared" si="112"/>
        <v>0.25918367346938775</v>
      </c>
      <c r="AF135" s="111">
        <f t="shared" si="112"/>
        <v>0.25918367346938775</v>
      </c>
      <c r="AG135" s="111">
        <f t="shared" si="112"/>
        <v>0.25918367346938775</v>
      </c>
      <c r="AH135" s="111">
        <f t="shared" si="112"/>
        <v>0.25918367346938775</v>
      </c>
      <c r="AI135" s="111">
        <f t="shared" si="112"/>
        <v>0.25918367346938775</v>
      </c>
      <c r="AJ135" s="111">
        <f t="shared" si="112"/>
        <v>0.25918367346938775</v>
      </c>
      <c r="AK135" s="111">
        <f t="shared" si="112"/>
        <v>0.25918367346938775</v>
      </c>
      <c r="AL135" s="111">
        <f t="shared" si="112"/>
        <v>0.25918367346938775</v>
      </c>
      <c r="AM135" s="111">
        <f t="shared" si="112"/>
        <v>0.25918367346938775</v>
      </c>
      <c r="AN135" s="8"/>
      <c r="AO135" s="9"/>
      <c r="AP135" s="9"/>
      <c r="AQ135" s="9"/>
      <c r="AR135" s="9"/>
      <c r="AS135" s="9"/>
      <c r="AT135" s="9"/>
      <c r="AU135" s="9"/>
      <c r="AV135" s="9"/>
      <c r="AW135" s="9"/>
      <c r="AX135" s="9"/>
    </row>
    <row r="136" spans="1:50" ht="20.25" customHeight="1" x14ac:dyDescent="0.2">
      <c r="A136" s="18"/>
      <c r="B136" s="129" t="s">
        <v>82</v>
      </c>
      <c r="C136" s="129"/>
      <c r="D136" s="130">
        <f t="shared" ref="D136:AN136" si="113">D120+D123</f>
        <v>741545.07200000016</v>
      </c>
      <c r="E136" s="130">
        <f t="shared" si="113"/>
        <v>632.28480000013951</v>
      </c>
      <c r="F136" s="130">
        <f t="shared" si="113"/>
        <v>603091.60080000013</v>
      </c>
      <c r="G136" s="130">
        <f t="shared" si="113"/>
        <v>151518.32410317636</v>
      </c>
      <c r="H136" s="130">
        <f t="shared" si="113"/>
        <v>833893.18930676067</v>
      </c>
      <c r="I136" s="130">
        <f t="shared" si="113"/>
        <v>677578.0646099369</v>
      </c>
      <c r="J136" s="130">
        <f t="shared" si="113"/>
        <v>677578.0646099369</v>
      </c>
      <c r="K136" s="130">
        <f t="shared" si="113"/>
        <v>677578.0646099369</v>
      </c>
      <c r="L136" s="130">
        <f t="shared" si="113"/>
        <v>677578.0646099369</v>
      </c>
      <c r="M136" s="130">
        <f t="shared" si="113"/>
        <v>677578.0646099369</v>
      </c>
      <c r="N136" s="130">
        <f t="shared" si="113"/>
        <v>728734.27657940099</v>
      </c>
      <c r="O136" s="317">
        <f t="shared" si="113"/>
        <v>1563701.5573117929</v>
      </c>
      <c r="P136" s="130">
        <f t="shared" si="113"/>
        <v>765380.47812827025</v>
      </c>
      <c r="Q136" s="130">
        <f t="shared" si="113"/>
        <v>372783.43019944755</v>
      </c>
      <c r="R136" s="130">
        <f t="shared" si="113"/>
        <v>958388.98309723358</v>
      </c>
      <c r="S136" s="130">
        <f t="shared" si="113"/>
        <v>677578.0646099369</v>
      </c>
      <c r="T136" s="130">
        <f t="shared" si="113"/>
        <v>677578.0646099369</v>
      </c>
      <c r="U136" s="130">
        <f t="shared" si="113"/>
        <v>677578.0646099369</v>
      </c>
      <c r="V136" s="130">
        <f t="shared" si="113"/>
        <v>677578.0646099369</v>
      </c>
      <c r="W136" s="130">
        <f t="shared" si="113"/>
        <v>677578.0646099369</v>
      </c>
      <c r="X136" s="130">
        <f t="shared" si="113"/>
        <v>677578.0646099369</v>
      </c>
      <c r="Y136" s="130">
        <f t="shared" si="113"/>
        <v>677578.0646099369</v>
      </c>
      <c r="Z136" s="130">
        <f t="shared" si="113"/>
        <v>728734.27657940099</v>
      </c>
      <c r="AA136" s="317">
        <f t="shared" si="113"/>
        <v>1563701.5573117929</v>
      </c>
      <c r="AB136" s="130">
        <f t="shared" si="113"/>
        <v>765380.47812827025</v>
      </c>
      <c r="AC136" s="130">
        <f t="shared" si="113"/>
        <v>372783.43019944755</v>
      </c>
      <c r="AD136" s="130">
        <f t="shared" si="113"/>
        <v>958388.98309723358</v>
      </c>
      <c r="AE136" s="130">
        <f t="shared" si="113"/>
        <v>677578.0646099369</v>
      </c>
      <c r="AF136" s="130">
        <f t="shared" si="113"/>
        <v>677578.0646099369</v>
      </c>
      <c r="AG136" s="130">
        <f t="shared" si="113"/>
        <v>677578.0646099369</v>
      </c>
      <c r="AH136" s="130">
        <f t="shared" si="113"/>
        <v>677578.0646099369</v>
      </c>
      <c r="AI136" s="130">
        <f t="shared" si="113"/>
        <v>677578.0646099369</v>
      </c>
      <c r="AJ136" s="130">
        <f t="shared" si="113"/>
        <v>677578.0646099369</v>
      </c>
      <c r="AK136" s="130">
        <f t="shared" si="113"/>
        <v>677578.0646099369</v>
      </c>
      <c r="AL136" s="130">
        <f t="shared" si="113"/>
        <v>728734.27657940099</v>
      </c>
      <c r="AM136" s="130">
        <f t="shared" si="113"/>
        <v>1563701.5573117929</v>
      </c>
      <c r="AN136" s="318">
        <f t="shared" si="113"/>
        <v>8011006.6279508192</v>
      </c>
      <c r="AO136" s="9"/>
      <c r="AP136" s="9"/>
      <c r="AQ136" s="9"/>
      <c r="AR136" s="9"/>
      <c r="AS136" s="9"/>
      <c r="AT136" s="9"/>
      <c r="AU136" s="9"/>
      <c r="AV136" s="9"/>
      <c r="AW136" s="9"/>
      <c r="AX136" s="9"/>
    </row>
    <row r="137" spans="1:50" ht="15.75" customHeight="1" x14ac:dyDescent="0.2">
      <c r="A137" s="131"/>
      <c r="B137" s="480" t="s">
        <v>83</v>
      </c>
      <c r="C137" s="477"/>
      <c r="D137" s="98">
        <f t="shared" ref="D137:AM137" si="114">IFERROR(D136/D15,0)</f>
        <v>0.32122516103600196</v>
      </c>
      <c r="E137" s="98">
        <f t="shared" si="114"/>
        <v>4.0818480893686023E-4</v>
      </c>
      <c r="F137" s="98">
        <f t="shared" si="114"/>
        <v>0.1776876480468671</v>
      </c>
      <c r="G137" s="98">
        <f t="shared" si="114"/>
        <v>6.3158398406340063E-2</v>
      </c>
      <c r="H137" s="98">
        <f t="shared" si="114"/>
        <v>0.23130082707731153</v>
      </c>
      <c r="I137" s="98">
        <f t="shared" si="114"/>
        <v>0.18794297490786788</v>
      </c>
      <c r="J137" s="98">
        <f t="shared" si="114"/>
        <v>0.18794297490786788</v>
      </c>
      <c r="K137" s="98">
        <f t="shared" si="114"/>
        <v>0.18794297490786788</v>
      </c>
      <c r="L137" s="98">
        <f t="shared" si="114"/>
        <v>0.18794297490786788</v>
      </c>
      <c r="M137" s="98">
        <f t="shared" si="114"/>
        <v>0.18794297490786788</v>
      </c>
      <c r="N137" s="98">
        <f t="shared" si="114"/>
        <v>0.19164761578047207</v>
      </c>
      <c r="O137" s="303">
        <f t="shared" si="114"/>
        <v>0.21730803754652345</v>
      </c>
      <c r="P137" s="98">
        <f t="shared" si="114"/>
        <v>0.19337444117263114</v>
      </c>
      <c r="Q137" s="98">
        <f t="shared" si="114"/>
        <v>0.15667569605873549</v>
      </c>
      <c r="R137" s="98">
        <f t="shared" si="114"/>
        <v>0.19865763698231473</v>
      </c>
      <c r="S137" s="98">
        <f t="shared" si="114"/>
        <v>0.18794297490786788</v>
      </c>
      <c r="T137" s="98">
        <f t="shared" si="114"/>
        <v>0.18794297490786788</v>
      </c>
      <c r="U137" s="98">
        <f t="shared" si="114"/>
        <v>0.18794297490786788</v>
      </c>
      <c r="V137" s="98">
        <f t="shared" si="114"/>
        <v>0.18794297490786788</v>
      </c>
      <c r="W137" s="98">
        <f t="shared" si="114"/>
        <v>0.18794297490786788</v>
      </c>
      <c r="X137" s="98">
        <f t="shared" si="114"/>
        <v>0.18794297490786788</v>
      </c>
      <c r="Y137" s="98">
        <f t="shared" si="114"/>
        <v>0.18794297490786788</v>
      </c>
      <c r="Z137" s="98">
        <f t="shared" si="114"/>
        <v>0.19164761578047207</v>
      </c>
      <c r="AA137" s="303">
        <f t="shared" si="114"/>
        <v>0.21730803754652345</v>
      </c>
      <c r="AB137" s="98">
        <f t="shared" si="114"/>
        <v>0.19337444117263114</v>
      </c>
      <c r="AC137" s="98">
        <f t="shared" si="114"/>
        <v>0.15667569605873549</v>
      </c>
      <c r="AD137" s="98">
        <f t="shared" si="114"/>
        <v>0.19865763698231473</v>
      </c>
      <c r="AE137" s="98">
        <f t="shared" si="114"/>
        <v>0.18794297490786788</v>
      </c>
      <c r="AF137" s="98">
        <f t="shared" si="114"/>
        <v>0.18794297490786788</v>
      </c>
      <c r="AG137" s="98">
        <f t="shared" si="114"/>
        <v>0.18794297490786788</v>
      </c>
      <c r="AH137" s="98">
        <f t="shared" si="114"/>
        <v>0.18794297490786788</v>
      </c>
      <c r="AI137" s="98">
        <f t="shared" si="114"/>
        <v>0.18794297490786788</v>
      </c>
      <c r="AJ137" s="98">
        <f t="shared" si="114"/>
        <v>0.18794297490786788</v>
      </c>
      <c r="AK137" s="98">
        <f t="shared" si="114"/>
        <v>0.18794297490786788</v>
      </c>
      <c r="AL137" s="98">
        <f t="shared" si="114"/>
        <v>0.19164761578047207</v>
      </c>
      <c r="AM137" s="98">
        <f t="shared" si="114"/>
        <v>0.21730803754652345</v>
      </c>
      <c r="AN137" s="304">
        <f>IFERROR(AN136/AN$10,0)</f>
        <v>0.18947381145962125</v>
      </c>
      <c r="AO137" s="9"/>
      <c r="AP137" s="9"/>
      <c r="AQ137" s="9"/>
      <c r="AR137" s="9"/>
      <c r="AS137" s="9"/>
      <c r="AT137" s="9"/>
      <c r="AU137" s="9"/>
      <c r="AV137" s="9"/>
      <c r="AW137" s="9"/>
      <c r="AX137" s="9"/>
    </row>
    <row r="138" spans="1:50" ht="15.75" customHeight="1" outlineLevel="1" x14ac:dyDescent="0.2">
      <c r="A138" s="18"/>
      <c r="B138" s="24"/>
      <c r="C138" s="93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264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264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8"/>
      <c r="AO138" s="9"/>
      <c r="AP138" s="9"/>
      <c r="AQ138" s="9"/>
      <c r="AR138" s="9"/>
      <c r="AS138" s="9"/>
      <c r="AT138" s="9"/>
      <c r="AU138" s="9"/>
      <c r="AV138" s="9"/>
      <c r="AW138" s="9"/>
      <c r="AX138" s="9"/>
    </row>
    <row r="139" spans="1:50" ht="15.75" customHeight="1" outlineLevel="1" x14ac:dyDescent="0.2">
      <c r="A139" s="18"/>
      <c r="B139" s="139" t="s">
        <v>84</v>
      </c>
      <c r="C139" s="142">
        <v>1.2999999999999999E-2</v>
      </c>
      <c r="D139" s="249">
        <f t="shared" ref="D139:AM139" si="115">-$C139*D15</f>
        <v>-30010.37</v>
      </c>
      <c r="E139" s="249">
        <f t="shared" si="115"/>
        <v>-20137.207999999999</v>
      </c>
      <c r="F139" s="249">
        <f t="shared" si="115"/>
        <v>-44123.442999999999</v>
      </c>
      <c r="G139" s="5">
        <f t="shared" si="115"/>
        <v>-31187.272999999997</v>
      </c>
      <c r="H139" s="5">
        <f t="shared" si="115"/>
        <v>-46868.01857982311</v>
      </c>
      <c r="I139" s="5">
        <f t="shared" si="115"/>
        <v>-46868.01857982311</v>
      </c>
      <c r="J139" s="5">
        <f t="shared" si="115"/>
        <v>-46868.01857982311</v>
      </c>
      <c r="K139" s="5">
        <f t="shared" si="115"/>
        <v>-46868.01857982311</v>
      </c>
      <c r="L139" s="5">
        <f t="shared" si="115"/>
        <v>-46868.01857982311</v>
      </c>
      <c r="M139" s="5">
        <f t="shared" si="115"/>
        <v>-46868.01857982311</v>
      </c>
      <c r="N139" s="5">
        <f t="shared" si="115"/>
        <v>-49432.107761694991</v>
      </c>
      <c r="O139" s="264">
        <f t="shared" si="115"/>
        <v>-93545.183484993104</v>
      </c>
      <c r="P139" s="5">
        <f t="shared" si="115"/>
        <v>-51454.298486038802</v>
      </c>
      <c r="Q139" s="5">
        <f t="shared" si="115"/>
        <v>-30931.310436151194</v>
      </c>
      <c r="R139" s="5">
        <f t="shared" si="115"/>
        <v>-62716.223597148644</v>
      </c>
      <c r="S139" s="5">
        <f t="shared" si="115"/>
        <v>-46868.01857982311</v>
      </c>
      <c r="T139" s="5">
        <f t="shared" si="115"/>
        <v>-46868.01857982311</v>
      </c>
      <c r="U139" s="5">
        <f t="shared" si="115"/>
        <v>-46868.01857982311</v>
      </c>
      <c r="V139" s="5">
        <f t="shared" si="115"/>
        <v>-46868.01857982311</v>
      </c>
      <c r="W139" s="5">
        <f t="shared" si="115"/>
        <v>-46868.01857982311</v>
      </c>
      <c r="X139" s="5">
        <f t="shared" si="115"/>
        <v>-46868.01857982311</v>
      </c>
      <c r="Y139" s="5">
        <f t="shared" si="115"/>
        <v>-46868.01857982311</v>
      </c>
      <c r="Z139" s="5">
        <f t="shared" si="115"/>
        <v>-49432.107761694991</v>
      </c>
      <c r="AA139" s="264">
        <f t="shared" si="115"/>
        <v>-93545.183484993104</v>
      </c>
      <c r="AB139" s="5">
        <f t="shared" si="115"/>
        <v>-51454.298486038802</v>
      </c>
      <c r="AC139" s="5">
        <f t="shared" si="115"/>
        <v>-30931.310436151194</v>
      </c>
      <c r="AD139" s="5">
        <f t="shared" si="115"/>
        <v>-62716.223597148644</v>
      </c>
      <c r="AE139" s="5">
        <f t="shared" si="115"/>
        <v>-46868.01857982311</v>
      </c>
      <c r="AF139" s="5">
        <f t="shared" si="115"/>
        <v>-46868.01857982311</v>
      </c>
      <c r="AG139" s="5">
        <f t="shared" si="115"/>
        <v>-46868.01857982311</v>
      </c>
      <c r="AH139" s="5">
        <f t="shared" si="115"/>
        <v>-46868.01857982311</v>
      </c>
      <c r="AI139" s="5">
        <f t="shared" si="115"/>
        <v>-46868.01857982311</v>
      </c>
      <c r="AJ139" s="5">
        <f t="shared" si="115"/>
        <v>-46868.01857982311</v>
      </c>
      <c r="AK139" s="5">
        <f t="shared" si="115"/>
        <v>-46868.01857982311</v>
      </c>
      <c r="AL139" s="5">
        <f t="shared" si="115"/>
        <v>-49432.107761694991</v>
      </c>
      <c r="AM139" s="5">
        <f t="shared" si="115"/>
        <v>-93545.183484993104</v>
      </c>
      <c r="AN139" s="8">
        <f t="shared" ref="AN139:AN140" si="116">SUM(D139:O139)</f>
        <v>-549643.69672562671</v>
      </c>
      <c r="AO139" s="9"/>
      <c r="AP139" s="9"/>
      <c r="AQ139" s="9"/>
      <c r="AR139" s="9"/>
      <c r="AS139" s="9"/>
      <c r="AT139" s="9"/>
      <c r="AU139" s="9"/>
      <c r="AV139" s="9"/>
      <c r="AW139" s="9"/>
      <c r="AX139" s="9"/>
    </row>
    <row r="140" spans="1:50" ht="15.75" customHeight="1" outlineLevel="1" x14ac:dyDescent="0.2">
      <c r="A140" s="18"/>
      <c r="B140" s="139" t="s">
        <v>86</v>
      </c>
      <c r="C140" s="5"/>
      <c r="D140" s="6">
        <v>-377973</v>
      </c>
      <c r="E140" s="6">
        <v>-136949</v>
      </c>
      <c r="F140" s="6">
        <v>-128545</v>
      </c>
      <c r="G140" s="5">
        <f t="shared" ref="G140:AM140" si="117">G153+G159+G165+G171+G177+G183+G189+G195+G201+G207+G213+G225+G219+G231</f>
        <v>-96300.793721569891</v>
      </c>
      <c r="H140" s="5">
        <f t="shared" si="117"/>
        <v>-89705.923068113596</v>
      </c>
      <c r="I140" s="5">
        <f t="shared" si="117"/>
        <v>-67703.892684675811</v>
      </c>
      <c r="J140" s="5">
        <f t="shared" si="117"/>
        <v>-63658.164600498196</v>
      </c>
      <c r="K140" s="5">
        <f t="shared" si="117"/>
        <v>-61812.099837895228</v>
      </c>
      <c r="L140" s="5">
        <f t="shared" si="117"/>
        <v>-59220.243745394531</v>
      </c>
      <c r="M140" s="5">
        <f t="shared" si="117"/>
        <v>-56199.682940904044</v>
      </c>
      <c r="N140" s="5">
        <f t="shared" si="117"/>
        <v>-54494.20239703</v>
      </c>
      <c r="O140" s="264">
        <f t="shared" si="117"/>
        <v>-52679.437458567605</v>
      </c>
      <c r="P140" s="5">
        <f t="shared" si="117"/>
        <v>-40044.715606281323</v>
      </c>
      <c r="Q140" s="5">
        <f t="shared" si="117"/>
        <v>-39305.422606720305</v>
      </c>
      <c r="R140" s="5">
        <f t="shared" si="117"/>
        <v>-38547.690834859124</v>
      </c>
      <c r="S140" s="5">
        <f t="shared" si="117"/>
        <v>-37771.04808402832</v>
      </c>
      <c r="T140" s="5">
        <f t="shared" si="117"/>
        <v>-36975.009758346932</v>
      </c>
      <c r="U140" s="5">
        <f t="shared" si="117"/>
        <v>-36159.078540671864</v>
      </c>
      <c r="V140" s="5">
        <f t="shared" si="117"/>
        <v>-35322.744051485111</v>
      </c>
      <c r="W140" s="5">
        <f t="shared" si="117"/>
        <v>-34415.482498467776</v>
      </c>
      <c r="X140" s="5">
        <f t="shared" si="117"/>
        <v>-33536.756316502884</v>
      </c>
      <c r="Y140" s="5">
        <f t="shared" si="117"/>
        <v>-32636.013797841522</v>
      </c>
      <c r="Z140" s="5">
        <f t="shared" si="117"/>
        <v>-31712.688712159681</v>
      </c>
      <c r="AA140" s="264">
        <f t="shared" si="117"/>
        <v>-30933.431952769144</v>
      </c>
      <c r="AB140" s="5">
        <f t="shared" si="117"/>
        <v>-30187.977257163504</v>
      </c>
      <c r="AC140" s="5">
        <f t="shared" si="117"/>
        <v>-29424.706710573741</v>
      </c>
      <c r="AD140" s="5">
        <f t="shared" si="117"/>
        <v>-28643.183212009266</v>
      </c>
      <c r="AE140" s="5">
        <f t="shared" si="117"/>
        <v>-27842.958654030561</v>
      </c>
      <c r="AF140" s="5">
        <f t="shared" si="117"/>
        <v>-27023.57363865677</v>
      </c>
      <c r="AG140" s="5">
        <f t="shared" si="117"/>
        <v>-26184.557185772421</v>
      </c>
      <c r="AH140" s="5">
        <f t="shared" si="117"/>
        <v>-25325.426433831257</v>
      </c>
      <c r="AI140" s="5">
        <f t="shared" si="117"/>
        <v>-24445.686332649526</v>
      </c>
      <c r="AJ140" s="5">
        <f t="shared" si="117"/>
        <v>-23544.829328075532</v>
      </c>
      <c r="AK140" s="5">
        <f t="shared" si="117"/>
        <v>-22622.33503831628</v>
      </c>
      <c r="AL140" s="5">
        <f t="shared" si="117"/>
        <v>-21677.669921696019</v>
      </c>
      <c r="AM140" s="5">
        <f t="shared" si="117"/>
        <v>-20710.286935615557</v>
      </c>
      <c r="AN140" s="8">
        <f t="shared" si="116"/>
        <v>-1245241.440454649</v>
      </c>
      <c r="AO140" s="9"/>
      <c r="AP140" s="9"/>
      <c r="AQ140" s="9"/>
      <c r="AR140" s="9"/>
      <c r="AS140" s="9"/>
      <c r="AT140" s="9"/>
      <c r="AU140" s="9"/>
      <c r="AV140" s="9"/>
      <c r="AW140" s="9"/>
      <c r="AX140" s="9"/>
    </row>
    <row r="141" spans="1:50" ht="15.75" customHeight="1" x14ac:dyDescent="0.2">
      <c r="A141" s="120"/>
      <c r="B141" s="496" t="s">
        <v>273</v>
      </c>
      <c r="C141" s="477"/>
      <c r="D141" s="6"/>
      <c r="E141" s="6"/>
      <c r="F141" s="6"/>
      <c r="G141" s="5"/>
      <c r="H141" s="5">
        <f t="shared" ref="H141:AM141" si="118">H239</f>
        <v>-117118.86</v>
      </c>
      <c r="I141" s="5">
        <f t="shared" si="118"/>
        <v>-115404.37</v>
      </c>
      <c r="J141" s="5">
        <f t="shared" si="118"/>
        <v>-113588.97</v>
      </c>
      <c r="K141" s="5">
        <f t="shared" si="118"/>
        <v>-34917.69</v>
      </c>
      <c r="L141" s="5">
        <f t="shared" si="118"/>
        <v>-32868.800000000003</v>
      </c>
      <c r="M141" s="5">
        <f t="shared" si="118"/>
        <v>-30782.21</v>
      </c>
      <c r="N141" s="5">
        <f t="shared" si="118"/>
        <v>-28657.22</v>
      </c>
      <c r="O141" s="264">
        <f t="shared" si="118"/>
        <v>-26493.119999999999</v>
      </c>
      <c r="P141" s="5">
        <f t="shared" si="118"/>
        <v>-24289.19</v>
      </c>
      <c r="Q141" s="5">
        <f t="shared" si="118"/>
        <v>-22044.71</v>
      </c>
      <c r="R141" s="5">
        <f t="shared" si="118"/>
        <v>-19758.919999999998</v>
      </c>
      <c r="S141" s="5">
        <f t="shared" si="118"/>
        <v>-17431.060000000001</v>
      </c>
      <c r="T141" s="5">
        <f t="shared" si="118"/>
        <v>-15060.37</v>
      </c>
      <c r="U141" s="5">
        <f t="shared" si="118"/>
        <v>-12646.04</v>
      </c>
      <c r="V141" s="5">
        <f t="shared" si="118"/>
        <v>-10187.280000000001</v>
      </c>
      <c r="W141" s="5">
        <f t="shared" si="118"/>
        <v>-7683.28</v>
      </c>
      <c r="X141" s="5">
        <f t="shared" si="118"/>
        <v>-5133.1899999999996</v>
      </c>
      <c r="Y141" s="5">
        <f t="shared" si="118"/>
        <v>-2536.17</v>
      </c>
      <c r="Z141" s="5">
        <f t="shared" si="118"/>
        <v>0</v>
      </c>
      <c r="AA141" s="264">
        <f t="shared" si="118"/>
        <v>0</v>
      </c>
      <c r="AB141" s="5">
        <f t="shared" si="118"/>
        <v>0</v>
      </c>
      <c r="AC141" s="5">
        <f t="shared" si="118"/>
        <v>0</v>
      </c>
      <c r="AD141" s="5">
        <f t="shared" si="118"/>
        <v>0</v>
      </c>
      <c r="AE141" s="5">
        <f t="shared" si="118"/>
        <v>0</v>
      </c>
      <c r="AF141" s="5">
        <f t="shared" si="118"/>
        <v>0</v>
      </c>
      <c r="AG141" s="5">
        <f t="shared" si="118"/>
        <v>0</v>
      </c>
      <c r="AH141" s="5">
        <f t="shared" si="118"/>
        <v>0</v>
      </c>
      <c r="AI141" s="5">
        <f t="shared" si="118"/>
        <v>0</v>
      </c>
      <c r="AJ141" s="5">
        <f t="shared" si="118"/>
        <v>0</v>
      </c>
      <c r="AK141" s="5">
        <f t="shared" si="118"/>
        <v>0</v>
      </c>
      <c r="AL141" s="5">
        <f t="shared" si="118"/>
        <v>0</v>
      </c>
      <c r="AM141" s="5">
        <f t="shared" si="118"/>
        <v>0</v>
      </c>
      <c r="AN141" s="8"/>
      <c r="AO141" s="9"/>
      <c r="AP141" s="9"/>
      <c r="AQ141" s="9"/>
      <c r="AR141" s="9"/>
      <c r="AS141" s="9"/>
      <c r="AT141" s="9"/>
      <c r="AU141" s="9"/>
      <c r="AV141" s="9"/>
      <c r="AW141" s="9"/>
      <c r="AX141" s="9"/>
    </row>
    <row r="142" spans="1:50" ht="18.75" customHeight="1" x14ac:dyDescent="0.2">
      <c r="A142" s="24"/>
      <c r="B142" s="134"/>
      <c r="C142" s="134"/>
      <c r="D142" s="72"/>
      <c r="E142" s="72"/>
      <c r="F142" s="72"/>
      <c r="G142" s="72"/>
      <c r="H142" s="72"/>
      <c r="I142" s="72"/>
      <c r="J142" s="72"/>
      <c r="K142" s="72"/>
      <c r="L142" s="72"/>
      <c r="M142" s="72"/>
      <c r="N142" s="72"/>
      <c r="O142" s="291"/>
      <c r="P142" s="72"/>
      <c r="Q142" s="72"/>
      <c r="R142" s="72"/>
      <c r="S142" s="72"/>
      <c r="T142" s="72"/>
      <c r="U142" s="72"/>
      <c r="V142" s="72"/>
      <c r="W142" s="72"/>
      <c r="X142" s="72"/>
      <c r="Y142" s="72"/>
      <c r="Z142" s="72"/>
      <c r="AA142" s="291"/>
      <c r="AB142" s="72"/>
      <c r="AC142" s="72"/>
      <c r="AD142" s="72"/>
      <c r="AE142" s="72"/>
      <c r="AF142" s="72"/>
      <c r="AG142" s="72"/>
      <c r="AH142" s="72"/>
      <c r="AI142" s="72"/>
      <c r="AJ142" s="72"/>
      <c r="AK142" s="72"/>
      <c r="AL142" s="72"/>
      <c r="AM142" s="72"/>
      <c r="AN142" s="246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</row>
    <row r="143" spans="1:50" ht="18.75" customHeight="1" x14ac:dyDescent="0.2">
      <c r="A143" s="18"/>
      <c r="B143" s="129" t="s">
        <v>88</v>
      </c>
      <c r="C143" s="129"/>
      <c r="D143" s="130">
        <f t="shared" ref="D143:AM143" si="119">D136+D139+D140+D141</f>
        <v>333561.70200000016</v>
      </c>
      <c r="E143" s="130">
        <f t="shared" si="119"/>
        <v>-156453.92319999984</v>
      </c>
      <c r="F143" s="130">
        <f t="shared" si="119"/>
        <v>430423.15780000016</v>
      </c>
      <c r="G143" s="130">
        <f t="shared" si="119"/>
        <v>24030.257381606469</v>
      </c>
      <c r="H143" s="130">
        <f t="shared" si="119"/>
        <v>580200.38765882398</v>
      </c>
      <c r="I143" s="130">
        <f t="shared" si="119"/>
        <v>447601.78334543796</v>
      </c>
      <c r="J143" s="130">
        <f t="shared" si="119"/>
        <v>453462.91142961569</v>
      </c>
      <c r="K143" s="130">
        <f t="shared" si="119"/>
        <v>533980.25619221851</v>
      </c>
      <c r="L143" s="130">
        <f t="shared" si="119"/>
        <v>538621.00228471926</v>
      </c>
      <c r="M143" s="130">
        <f t="shared" si="119"/>
        <v>543728.15308920981</v>
      </c>
      <c r="N143" s="130">
        <f t="shared" si="119"/>
        <v>596150.74642067601</v>
      </c>
      <c r="O143" s="317">
        <f t="shared" si="119"/>
        <v>1390983.816368232</v>
      </c>
      <c r="P143" s="130">
        <f t="shared" si="119"/>
        <v>649592.27403595019</v>
      </c>
      <c r="Q143" s="130">
        <f t="shared" si="119"/>
        <v>280501.98715657601</v>
      </c>
      <c r="R143" s="130">
        <f t="shared" si="119"/>
        <v>837366.14866522572</v>
      </c>
      <c r="S143" s="130">
        <f t="shared" si="119"/>
        <v>575507.93794608547</v>
      </c>
      <c r="T143" s="130">
        <f t="shared" si="119"/>
        <v>578674.66627176688</v>
      </c>
      <c r="U143" s="130">
        <f t="shared" si="119"/>
        <v>581904.92748944194</v>
      </c>
      <c r="V143" s="130">
        <f t="shared" si="119"/>
        <v>585200.02197862871</v>
      </c>
      <c r="W143" s="130">
        <f t="shared" si="119"/>
        <v>588611.28353164601</v>
      </c>
      <c r="X143" s="130">
        <f t="shared" si="119"/>
        <v>592040.09971361095</v>
      </c>
      <c r="Y143" s="130">
        <f t="shared" si="119"/>
        <v>595537.86223227228</v>
      </c>
      <c r="Z143" s="130">
        <f t="shared" si="119"/>
        <v>647589.4801055463</v>
      </c>
      <c r="AA143" s="317">
        <f t="shared" si="119"/>
        <v>1439222.9418740305</v>
      </c>
      <c r="AB143" s="130">
        <f t="shared" si="119"/>
        <v>683738.20238506794</v>
      </c>
      <c r="AC143" s="130">
        <f t="shared" si="119"/>
        <v>312427.41305272258</v>
      </c>
      <c r="AD143" s="130">
        <f t="shared" si="119"/>
        <v>867029.57628807565</v>
      </c>
      <c r="AE143" s="130">
        <f t="shared" si="119"/>
        <v>602867.08737608325</v>
      </c>
      <c r="AF143" s="130">
        <f t="shared" si="119"/>
        <v>603686.47239145706</v>
      </c>
      <c r="AG143" s="130">
        <f t="shared" si="119"/>
        <v>604525.48884434137</v>
      </c>
      <c r="AH143" s="130">
        <f t="shared" si="119"/>
        <v>605384.6195962826</v>
      </c>
      <c r="AI143" s="130">
        <f t="shared" si="119"/>
        <v>606264.35969746427</v>
      </c>
      <c r="AJ143" s="130">
        <f t="shared" si="119"/>
        <v>607165.21670203831</v>
      </c>
      <c r="AK143" s="130">
        <f t="shared" si="119"/>
        <v>608087.7109917975</v>
      </c>
      <c r="AL143" s="130">
        <f t="shared" si="119"/>
        <v>657624.49889600987</v>
      </c>
      <c r="AM143" s="130">
        <f t="shared" si="119"/>
        <v>1449446.0868911841</v>
      </c>
      <c r="AN143" s="318">
        <f>SUM(D143:O143)</f>
        <v>5716290.2507705409</v>
      </c>
      <c r="AO143" s="9"/>
      <c r="AP143" s="9"/>
      <c r="AQ143" s="9"/>
      <c r="AR143" s="9"/>
      <c r="AS143" s="9"/>
      <c r="AT143" s="9"/>
      <c r="AU143" s="9"/>
      <c r="AV143" s="9"/>
      <c r="AW143" s="9"/>
      <c r="AX143" s="9"/>
    </row>
    <row r="144" spans="1:50" ht="15.75" customHeight="1" x14ac:dyDescent="0.2">
      <c r="A144" s="131"/>
      <c r="B144" s="482" t="s">
        <v>89</v>
      </c>
      <c r="C144" s="477"/>
      <c r="D144" s="98">
        <f t="shared" ref="D144:AN144" si="120">IFERROR(D143/D$10,0)</f>
        <v>0.14449345762814661</v>
      </c>
      <c r="E144" s="98">
        <f t="shared" si="120"/>
        <v>-0.10100213503282074</v>
      </c>
      <c r="F144" s="98">
        <f t="shared" si="120"/>
        <v>0.12681469692652955</v>
      </c>
      <c r="G144" s="98">
        <f t="shared" si="120"/>
        <v>1.0016693218444719E-2</v>
      </c>
      <c r="H144" s="98">
        <f t="shared" si="120"/>
        <v>0.16093287636469097</v>
      </c>
      <c r="I144" s="98">
        <f t="shared" si="120"/>
        <v>0.12415338560942968</v>
      </c>
      <c r="J144" s="98">
        <f t="shared" si="120"/>
        <v>0.12577911392914817</v>
      </c>
      <c r="K144" s="98">
        <f t="shared" si="120"/>
        <v>0.14811258382250647</v>
      </c>
      <c r="L144" s="98">
        <f t="shared" si="120"/>
        <v>0.14939980912092096</v>
      </c>
      <c r="M144" s="98">
        <f t="shared" si="120"/>
        <v>0.15081640326059642</v>
      </c>
      <c r="N144" s="98">
        <f t="shared" si="120"/>
        <v>0.15677987555841677</v>
      </c>
      <c r="O144" s="303">
        <f t="shared" si="120"/>
        <v>0.19330540535727239</v>
      </c>
      <c r="P144" s="98">
        <f t="shared" si="120"/>
        <v>0.16412039053955171</v>
      </c>
      <c r="Q144" s="98">
        <f t="shared" si="120"/>
        <v>0.11789108775597119</v>
      </c>
      <c r="R144" s="98">
        <f t="shared" si="120"/>
        <v>0.1735716742540418</v>
      </c>
      <c r="S144" s="98">
        <f t="shared" si="120"/>
        <v>0.15963130979298482</v>
      </c>
      <c r="T144" s="98">
        <f t="shared" si="120"/>
        <v>0.16050967993708945</v>
      </c>
      <c r="U144" s="98">
        <f t="shared" si="120"/>
        <v>0.16140567249453575</v>
      </c>
      <c r="V144" s="98">
        <f t="shared" si="120"/>
        <v>0.16231964815763042</v>
      </c>
      <c r="W144" s="98">
        <f t="shared" si="120"/>
        <v>0.16326584561877755</v>
      </c>
      <c r="X144" s="98">
        <f t="shared" si="120"/>
        <v>0.16421691228889135</v>
      </c>
      <c r="Y144" s="98">
        <f t="shared" si="120"/>
        <v>0.16518710292464767</v>
      </c>
      <c r="Z144" s="98">
        <f t="shared" si="120"/>
        <v>0.1703075920200946</v>
      </c>
      <c r="AA144" s="303">
        <f t="shared" si="120"/>
        <v>0.20000920995963317</v>
      </c>
      <c r="AB144" s="98">
        <f t="shared" si="120"/>
        <v>0.17274740677725192</v>
      </c>
      <c r="AC144" s="98">
        <f t="shared" si="120"/>
        <v>0.13130890067103074</v>
      </c>
      <c r="AD144" s="98">
        <f t="shared" si="120"/>
        <v>0.17972039522254382</v>
      </c>
      <c r="AE144" s="98">
        <f t="shared" si="120"/>
        <v>0.16722004414462407</v>
      </c>
      <c r="AF144" s="98">
        <f t="shared" si="120"/>
        <v>0.16744732077211191</v>
      </c>
      <c r="AG144" s="98">
        <f t="shared" si="120"/>
        <v>0.16768004266260361</v>
      </c>
      <c r="AH144" s="98">
        <f t="shared" si="120"/>
        <v>0.16791834374964901</v>
      </c>
      <c r="AI144" s="98">
        <f t="shared" si="120"/>
        <v>0.16816236134761689</v>
      </c>
      <c r="AJ144" s="98">
        <f t="shared" si="120"/>
        <v>0.16841223623915974</v>
      </c>
      <c r="AK144" s="98">
        <f t="shared" si="120"/>
        <v>0.16866811276499249</v>
      </c>
      <c r="AL144" s="98">
        <f t="shared" si="120"/>
        <v>0.17294667115677498</v>
      </c>
      <c r="AM144" s="98">
        <f t="shared" si="120"/>
        <v>0.20142992324781991</v>
      </c>
      <c r="AN144" s="304">
        <f t="shared" si="120"/>
        <v>0.13519990077701602</v>
      </c>
      <c r="AO144" s="9"/>
      <c r="AP144" s="9"/>
      <c r="AQ144" s="9"/>
      <c r="AR144" s="9"/>
      <c r="AS144" s="9"/>
      <c r="AT144" s="9"/>
      <c r="AU144" s="9"/>
      <c r="AV144" s="9"/>
      <c r="AW144" s="9"/>
      <c r="AX144" s="9"/>
    </row>
    <row r="145" spans="1:50" ht="14.25" customHeight="1" x14ac:dyDescent="0.2">
      <c r="A145" s="120"/>
      <c r="B145" s="481"/>
      <c r="C145" s="477"/>
      <c r="D145" s="483"/>
      <c r="E145" s="477"/>
      <c r="F145" s="477"/>
      <c r="G145" s="477"/>
      <c r="H145" s="477"/>
      <c r="I145" s="477"/>
      <c r="J145" s="477"/>
      <c r="K145" s="477"/>
      <c r="L145" s="477"/>
      <c r="M145" s="477"/>
      <c r="N145" s="477"/>
      <c r="O145" s="477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264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8"/>
      <c r="AO145" s="9"/>
      <c r="AP145" s="9"/>
      <c r="AQ145" s="9"/>
      <c r="AR145" s="9"/>
      <c r="AS145" s="9"/>
      <c r="AT145" s="9"/>
      <c r="AU145" s="9"/>
      <c r="AV145" s="9"/>
      <c r="AW145" s="9"/>
      <c r="AX145" s="9"/>
    </row>
    <row r="146" spans="1:50" ht="15.75" customHeight="1" x14ac:dyDescent="0.2">
      <c r="A146" s="150"/>
      <c r="B146" s="484" t="s">
        <v>90</v>
      </c>
      <c r="C146" s="477"/>
      <c r="D146" s="325">
        <f t="shared" ref="D146:AM146" si="121">C146+D143</f>
        <v>333561.70200000016</v>
      </c>
      <c r="E146" s="325">
        <f t="shared" si="121"/>
        <v>177107.77880000032</v>
      </c>
      <c r="F146" s="325">
        <f t="shared" si="121"/>
        <v>607530.93660000048</v>
      </c>
      <c r="G146" s="151">
        <f t="shared" si="121"/>
        <v>631561.19398160698</v>
      </c>
      <c r="H146" s="151">
        <f t="shared" si="121"/>
        <v>1211761.581640431</v>
      </c>
      <c r="I146" s="151">
        <f t="shared" si="121"/>
        <v>1659363.3649858688</v>
      </c>
      <c r="J146" s="151">
        <f t="shared" si="121"/>
        <v>2112826.2764154845</v>
      </c>
      <c r="K146" s="151">
        <f t="shared" si="121"/>
        <v>2646806.532607703</v>
      </c>
      <c r="L146" s="151">
        <f t="shared" si="121"/>
        <v>3185427.5348924221</v>
      </c>
      <c r="M146" s="151">
        <f t="shared" si="121"/>
        <v>3729155.6879816321</v>
      </c>
      <c r="N146" s="151">
        <f t="shared" si="121"/>
        <v>4325306.4344023084</v>
      </c>
      <c r="O146" s="326">
        <f t="shared" si="121"/>
        <v>5716290.2507705409</v>
      </c>
      <c r="P146" s="151">
        <f t="shared" si="121"/>
        <v>6365882.5248064911</v>
      </c>
      <c r="Q146" s="151">
        <f t="shared" si="121"/>
        <v>6646384.5119630676</v>
      </c>
      <c r="R146" s="151">
        <f t="shared" si="121"/>
        <v>7483750.6606282936</v>
      </c>
      <c r="S146" s="151">
        <f t="shared" si="121"/>
        <v>8059258.5985743795</v>
      </c>
      <c r="T146" s="151">
        <f t="shared" si="121"/>
        <v>8637933.2648461461</v>
      </c>
      <c r="U146" s="151">
        <f t="shared" si="121"/>
        <v>9219838.1923355889</v>
      </c>
      <c r="V146" s="151">
        <f t="shared" si="121"/>
        <v>9805038.2143142167</v>
      </c>
      <c r="W146" s="151">
        <f t="shared" si="121"/>
        <v>10393649.497845862</v>
      </c>
      <c r="X146" s="151">
        <f t="shared" si="121"/>
        <v>10985689.597559473</v>
      </c>
      <c r="Y146" s="151">
        <f t="shared" si="121"/>
        <v>11581227.459791744</v>
      </c>
      <c r="Z146" s="151">
        <f t="shared" si="121"/>
        <v>12228816.939897291</v>
      </c>
      <c r="AA146" s="326">
        <f t="shared" si="121"/>
        <v>13668039.881771322</v>
      </c>
      <c r="AB146" s="151">
        <f t="shared" si="121"/>
        <v>14351778.08415639</v>
      </c>
      <c r="AC146" s="151">
        <f t="shared" si="121"/>
        <v>14664205.497209113</v>
      </c>
      <c r="AD146" s="151">
        <f t="shared" si="121"/>
        <v>15531235.073497189</v>
      </c>
      <c r="AE146" s="151">
        <f t="shared" si="121"/>
        <v>16134102.160873272</v>
      </c>
      <c r="AF146" s="151">
        <f t="shared" si="121"/>
        <v>16737788.633264728</v>
      </c>
      <c r="AG146" s="151">
        <f t="shared" si="121"/>
        <v>17342314.12210907</v>
      </c>
      <c r="AH146" s="151">
        <f t="shared" si="121"/>
        <v>17947698.741705354</v>
      </c>
      <c r="AI146" s="151">
        <f t="shared" si="121"/>
        <v>18553963.101402819</v>
      </c>
      <c r="AJ146" s="151">
        <f t="shared" si="121"/>
        <v>19161128.318104856</v>
      </c>
      <c r="AK146" s="151">
        <f t="shared" si="121"/>
        <v>19769216.029096652</v>
      </c>
      <c r="AL146" s="151">
        <f t="shared" si="121"/>
        <v>20426840.527992662</v>
      </c>
      <c r="AM146" s="151">
        <f t="shared" si="121"/>
        <v>21876286.614883848</v>
      </c>
      <c r="AN146" s="327">
        <f>O146</f>
        <v>5716290.2507705409</v>
      </c>
      <c r="AO146" s="9"/>
      <c r="AP146" s="9"/>
      <c r="AQ146" s="9"/>
      <c r="AR146" s="9"/>
      <c r="AS146" s="9"/>
      <c r="AT146" s="9"/>
      <c r="AU146" s="9"/>
      <c r="AV146" s="9"/>
      <c r="AW146" s="9"/>
      <c r="AX146" s="9"/>
    </row>
    <row r="147" spans="1:50" ht="15.75" customHeight="1" x14ac:dyDescent="0.2">
      <c r="A147" s="120"/>
      <c r="B147" s="127"/>
      <c r="C147" s="127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264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264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8"/>
      <c r="AO147" s="9"/>
      <c r="AP147" s="9"/>
      <c r="AQ147" s="9"/>
      <c r="AR147" s="9"/>
      <c r="AS147" s="9"/>
      <c r="AT147" s="9"/>
      <c r="AU147" s="9"/>
      <c r="AV147" s="9"/>
      <c r="AW147" s="9"/>
      <c r="AX147" s="9"/>
    </row>
    <row r="148" spans="1:50" ht="15.75" customHeight="1" x14ac:dyDescent="0.2">
      <c r="A148" s="18"/>
      <c r="B148" s="135" t="s">
        <v>91</v>
      </c>
      <c r="C148" s="136"/>
      <c r="D148" s="136">
        <f t="shared" ref="D148:O148" si="122">D154+D160+D166+D172+D178+D184+D190+D196+D202+D208+D220+D214+D226+D232</f>
        <v>-1137433.5900000001</v>
      </c>
      <c r="E148" s="136">
        <f t="shared" si="122"/>
        <v>-94898.558749999997</v>
      </c>
      <c r="F148" s="136">
        <f t="shared" si="122"/>
        <v>-400567.82501677086</v>
      </c>
      <c r="G148" s="136">
        <f t="shared" si="122"/>
        <v>-178631.34461176343</v>
      </c>
      <c r="H148" s="136">
        <f t="shared" si="122"/>
        <v>-515851.38626521977</v>
      </c>
      <c r="I148" s="136">
        <f t="shared" si="122"/>
        <v>-102907.44064865753</v>
      </c>
      <c r="J148" s="136">
        <f t="shared" si="122"/>
        <v>-106953.16873283514</v>
      </c>
      <c r="K148" s="136">
        <f t="shared" si="122"/>
        <v>-108799.23349543811</v>
      </c>
      <c r="L148" s="136">
        <f t="shared" si="122"/>
        <v>-111391.0895879388</v>
      </c>
      <c r="M148" s="136">
        <f t="shared" si="122"/>
        <v>-114411.65039242928</v>
      </c>
      <c r="N148" s="136">
        <f t="shared" si="122"/>
        <v>-141626.13093630332</v>
      </c>
      <c r="O148" s="319">
        <f t="shared" si="122"/>
        <v>-522131.8958747657</v>
      </c>
      <c r="P148" s="136">
        <f t="shared" ref="P148:AM148" si="123">P154+P160+P166+P172+P178+P184+P190+P196+P202+P208+P220+P214+P226</f>
        <v>-42933.284393718677</v>
      </c>
      <c r="Q148" s="136">
        <f t="shared" si="123"/>
        <v>-43672.577393279702</v>
      </c>
      <c r="R148" s="136">
        <f t="shared" si="123"/>
        <v>-44430.309165140869</v>
      </c>
      <c r="S148" s="136">
        <f t="shared" si="123"/>
        <v>-45206.95191597168</v>
      </c>
      <c r="T148" s="136">
        <f t="shared" si="123"/>
        <v>-46002.990241653075</v>
      </c>
      <c r="U148" s="136">
        <f t="shared" si="123"/>
        <v>-46818.921459328136</v>
      </c>
      <c r="V148" s="136">
        <f t="shared" si="123"/>
        <v>-45979.255948514896</v>
      </c>
      <c r="W148" s="136">
        <f t="shared" si="123"/>
        <v>-36052.517501532224</v>
      </c>
      <c r="X148" s="136">
        <f t="shared" si="123"/>
        <v>-36931.243683497116</v>
      </c>
      <c r="Y148" s="136">
        <f t="shared" si="123"/>
        <v>-37831.986202158478</v>
      </c>
      <c r="Z148" s="136">
        <f t="shared" si="123"/>
        <v>-33021.311287840319</v>
      </c>
      <c r="AA148" s="319">
        <f t="shared" si="123"/>
        <v>-31994.568047230856</v>
      </c>
      <c r="AB148" s="136">
        <f t="shared" si="123"/>
        <v>-32740.022742836496</v>
      </c>
      <c r="AC148" s="136">
        <f t="shared" si="123"/>
        <v>-33503.293289426263</v>
      </c>
      <c r="AD148" s="136">
        <f t="shared" si="123"/>
        <v>-34284.816787990734</v>
      </c>
      <c r="AE148" s="136">
        <f t="shared" si="123"/>
        <v>-35085.041345969432</v>
      </c>
      <c r="AF148" s="136">
        <f t="shared" si="123"/>
        <v>-35904.426361343227</v>
      </c>
      <c r="AG148" s="136">
        <f t="shared" si="123"/>
        <v>-36743.442814227572</v>
      </c>
      <c r="AH148" s="136">
        <f t="shared" si="123"/>
        <v>-37602.573566168743</v>
      </c>
      <c r="AI148" s="136">
        <f t="shared" si="123"/>
        <v>-38482.313667350478</v>
      </c>
      <c r="AJ148" s="136">
        <f t="shared" si="123"/>
        <v>-39383.170671924468</v>
      </c>
      <c r="AK148" s="136">
        <f t="shared" si="123"/>
        <v>-40305.664961683724</v>
      </c>
      <c r="AL148" s="136">
        <f t="shared" si="123"/>
        <v>-41250.330078303981</v>
      </c>
      <c r="AM148" s="136">
        <f t="shared" si="123"/>
        <v>-39861.713064384443</v>
      </c>
      <c r="AN148" s="259">
        <f>SUM(D148:O148)</f>
        <v>-3535603.3143121223</v>
      </c>
      <c r="AO148" s="207"/>
      <c r="AP148" s="9"/>
      <c r="AQ148" s="9"/>
      <c r="AR148" s="9"/>
      <c r="AS148" s="9"/>
      <c r="AT148" s="9"/>
      <c r="AU148" s="9"/>
      <c r="AV148" s="9"/>
      <c r="AW148" s="9"/>
      <c r="AX148" s="9"/>
    </row>
    <row r="149" spans="1:50" ht="15.75" customHeight="1" x14ac:dyDescent="0.2">
      <c r="A149" s="120"/>
      <c r="B149" s="127"/>
      <c r="C149" s="127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264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264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8"/>
      <c r="AO149" s="9"/>
      <c r="AP149" s="9"/>
      <c r="AQ149" s="9"/>
      <c r="AR149" s="9"/>
      <c r="AS149" s="9"/>
      <c r="AT149" s="9"/>
      <c r="AU149" s="9"/>
      <c r="AV149" s="9"/>
      <c r="AW149" s="9"/>
      <c r="AX149" s="9"/>
    </row>
    <row r="150" spans="1:50" ht="15.75" customHeight="1" x14ac:dyDescent="0.2">
      <c r="A150" s="84"/>
      <c r="B150" s="152" t="s">
        <v>274</v>
      </c>
      <c r="C150" s="153"/>
      <c r="D150" s="154">
        <f t="shared" ref="D150:N150" si="124">D152</f>
        <v>-75800</v>
      </c>
      <c r="E150" s="154">
        <f t="shared" si="124"/>
        <v>-75800</v>
      </c>
      <c r="F150" s="154">
        <f t="shared" si="124"/>
        <v>-75800</v>
      </c>
      <c r="G150" s="154">
        <f t="shared" si="124"/>
        <v>-75800</v>
      </c>
      <c r="H150" s="154">
        <f t="shared" si="124"/>
        <v>-75800</v>
      </c>
      <c r="I150" s="154">
        <f t="shared" si="124"/>
        <v>-75800</v>
      </c>
      <c r="J150" s="154">
        <f t="shared" si="124"/>
        <v>-75800</v>
      </c>
      <c r="K150" s="154">
        <f t="shared" si="124"/>
        <v>-75800</v>
      </c>
      <c r="L150" s="154">
        <f t="shared" si="124"/>
        <v>-75800</v>
      </c>
      <c r="M150" s="154">
        <f t="shared" si="124"/>
        <v>-75800</v>
      </c>
      <c r="N150" s="154">
        <f t="shared" si="124"/>
        <v>-101309</v>
      </c>
      <c r="O150" s="328"/>
      <c r="P150" s="154"/>
      <c r="Q150" s="154"/>
      <c r="R150" s="154"/>
      <c r="S150" s="154"/>
      <c r="T150" s="154"/>
      <c r="U150" s="154"/>
      <c r="V150" s="154"/>
      <c r="W150" s="154"/>
      <c r="X150" s="154"/>
      <c r="Y150" s="154"/>
      <c r="Z150" s="154"/>
      <c r="AA150" s="328"/>
      <c r="AB150" s="154"/>
      <c r="AC150" s="154"/>
      <c r="AD150" s="154"/>
      <c r="AE150" s="154"/>
      <c r="AF150" s="154"/>
      <c r="AG150" s="154"/>
      <c r="AH150" s="154"/>
      <c r="AI150" s="154"/>
      <c r="AJ150" s="154"/>
      <c r="AK150" s="154"/>
      <c r="AL150" s="154"/>
      <c r="AM150" s="154"/>
      <c r="AN150" s="329"/>
      <c r="AO150" s="9"/>
      <c r="AP150" s="9"/>
      <c r="AQ150" s="9"/>
      <c r="AR150" s="9"/>
      <c r="AS150" s="9"/>
      <c r="AT150" s="9"/>
      <c r="AU150" s="9"/>
      <c r="AV150" s="9"/>
      <c r="AW150" s="9"/>
      <c r="AX150" s="9"/>
    </row>
    <row r="151" spans="1:50" ht="15.75" customHeight="1" outlineLevel="1" x14ac:dyDescent="0.2">
      <c r="A151" s="16"/>
      <c r="B151" s="24" t="s">
        <v>93</v>
      </c>
      <c r="C151" s="125">
        <v>749503</v>
      </c>
      <c r="D151" s="6">
        <v>749503</v>
      </c>
      <c r="E151" s="6">
        <f>D155</f>
        <v>692980</v>
      </c>
      <c r="F151" s="6">
        <v>634824</v>
      </c>
      <c r="G151" s="6">
        <v>573373</v>
      </c>
      <c r="H151" s="6">
        <v>511640</v>
      </c>
      <c r="I151" s="6">
        <v>447676</v>
      </c>
      <c r="J151" s="6">
        <v>382879</v>
      </c>
      <c r="K151" s="6">
        <v>314663</v>
      </c>
      <c r="L151" s="6">
        <v>245240</v>
      </c>
      <c r="M151" s="6">
        <v>173896</v>
      </c>
      <c r="N151" s="5">
        <f>M155</f>
        <v>100209</v>
      </c>
      <c r="O151" s="264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264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8"/>
      <c r="AO151" s="9"/>
      <c r="AP151" s="9"/>
      <c r="AQ151" s="9"/>
      <c r="AR151" s="9"/>
      <c r="AS151" s="9"/>
      <c r="AT151" s="9"/>
      <c r="AU151" s="9"/>
      <c r="AV151" s="9"/>
      <c r="AW151" s="9"/>
      <c r="AX151" s="9"/>
    </row>
    <row r="152" spans="1:50" ht="15.75" customHeight="1" outlineLevel="1" x14ac:dyDescent="0.2">
      <c r="A152" s="16"/>
      <c r="B152" s="24" t="s">
        <v>94</v>
      </c>
      <c r="C152" s="125">
        <v>75800</v>
      </c>
      <c r="D152" s="6">
        <v>-75800</v>
      </c>
      <c r="E152" s="6">
        <v>-75800</v>
      </c>
      <c r="F152" s="6">
        <v>-75800</v>
      </c>
      <c r="G152" s="6">
        <v>-75800</v>
      </c>
      <c r="H152" s="6">
        <v>-75800</v>
      </c>
      <c r="I152" s="6">
        <v>-75800</v>
      </c>
      <c r="J152" s="6">
        <v>-75800</v>
      </c>
      <c r="K152" s="6">
        <v>-75800</v>
      </c>
      <c r="L152" s="6">
        <v>-75800</v>
      </c>
      <c r="M152" s="6">
        <v>-75800</v>
      </c>
      <c r="N152" s="6">
        <f>-100209-1100</f>
        <v>-101309</v>
      </c>
      <c r="O152" s="321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321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8"/>
      <c r="AO152" s="9"/>
      <c r="AP152" s="9"/>
      <c r="AQ152" s="9"/>
      <c r="AR152" s="9"/>
      <c r="AS152" s="9"/>
      <c r="AT152" s="9"/>
      <c r="AU152" s="9"/>
      <c r="AV152" s="9"/>
      <c r="AW152" s="9"/>
      <c r="AX152" s="9"/>
    </row>
    <row r="153" spans="1:50" ht="15.75" customHeight="1" outlineLevel="1" x14ac:dyDescent="0.2">
      <c r="A153" s="16"/>
      <c r="B153" s="24" t="s">
        <v>95</v>
      </c>
      <c r="C153" s="142">
        <v>0.35</v>
      </c>
      <c r="D153" s="330">
        <v>-19277</v>
      </c>
      <c r="E153" s="331">
        <v>-17624</v>
      </c>
      <c r="F153" s="331">
        <v>-14349</v>
      </c>
      <c r="G153" s="331">
        <v>-14068</v>
      </c>
      <c r="H153" s="331">
        <v>-11836</v>
      </c>
      <c r="I153" s="331">
        <v>-11003</v>
      </c>
      <c r="J153" s="331">
        <v>-7584</v>
      </c>
      <c r="K153" s="331">
        <v>-6377</v>
      </c>
      <c r="L153" s="331">
        <v>-4455</v>
      </c>
      <c r="M153" s="331">
        <v>-2113</v>
      </c>
      <c r="N153" s="332">
        <v>-1100</v>
      </c>
      <c r="O153" s="264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264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9"/>
      <c r="AP153" s="9"/>
      <c r="AQ153" s="9"/>
      <c r="AR153" s="9"/>
      <c r="AS153" s="9"/>
      <c r="AT153" s="9"/>
      <c r="AU153" s="9"/>
      <c r="AV153" s="9"/>
      <c r="AW153" s="9"/>
      <c r="AX153" s="9"/>
    </row>
    <row r="154" spans="1:50" ht="15.75" customHeight="1" outlineLevel="1" x14ac:dyDescent="0.2">
      <c r="A154" s="16"/>
      <c r="B154" s="24" t="s">
        <v>96</v>
      </c>
      <c r="C154" s="156"/>
      <c r="D154" s="6">
        <v>-56523</v>
      </c>
      <c r="E154" s="6">
        <v>-58176</v>
      </c>
      <c r="F154" s="6">
        <v>-61451</v>
      </c>
      <c r="G154" s="6">
        <v>-61732</v>
      </c>
      <c r="H154" s="6">
        <v>-63964</v>
      </c>
      <c r="I154" s="6">
        <v>-64797</v>
      </c>
      <c r="J154" s="6">
        <v>-68216</v>
      </c>
      <c r="K154" s="6">
        <v>-69423</v>
      </c>
      <c r="L154" s="6">
        <v>-71345</v>
      </c>
      <c r="M154" s="6">
        <f>M152-M153</f>
        <v>-73687</v>
      </c>
      <c r="N154" s="5">
        <f>-100209</f>
        <v>-100209</v>
      </c>
      <c r="O154" s="264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264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8"/>
      <c r="AO154" s="9"/>
      <c r="AP154" s="9"/>
      <c r="AQ154" s="9"/>
      <c r="AR154" s="9"/>
      <c r="AS154" s="9"/>
      <c r="AT154" s="9"/>
      <c r="AU154" s="9"/>
      <c r="AV154" s="9"/>
      <c r="AW154" s="9"/>
      <c r="AX154" s="9"/>
    </row>
    <row r="155" spans="1:50" ht="15.75" customHeight="1" outlineLevel="1" x14ac:dyDescent="0.2">
      <c r="A155" s="16"/>
      <c r="B155" s="24" t="s">
        <v>97</v>
      </c>
      <c r="C155" s="156"/>
      <c r="D155" s="5">
        <f t="shared" ref="D155:N155" si="125">D151+D154</f>
        <v>692980</v>
      </c>
      <c r="E155" s="5">
        <f t="shared" si="125"/>
        <v>634804</v>
      </c>
      <c r="F155" s="5">
        <f t="shared" si="125"/>
        <v>573373</v>
      </c>
      <c r="G155" s="5">
        <f t="shared" si="125"/>
        <v>511641</v>
      </c>
      <c r="H155" s="5">
        <f t="shared" si="125"/>
        <v>447676</v>
      </c>
      <c r="I155" s="5">
        <f t="shared" si="125"/>
        <v>382879</v>
      </c>
      <c r="J155" s="5">
        <f t="shared" si="125"/>
        <v>314663</v>
      </c>
      <c r="K155" s="5">
        <f t="shared" si="125"/>
        <v>245240</v>
      </c>
      <c r="L155" s="5">
        <f t="shared" si="125"/>
        <v>173895</v>
      </c>
      <c r="M155" s="5">
        <f t="shared" si="125"/>
        <v>100209</v>
      </c>
      <c r="N155" s="333">
        <f t="shared" si="125"/>
        <v>0</v>
      </c>
      <c r="O155" s="264">
        <f>O150</f>
        <v>0</v>
      </c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264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8"/>
      <c r="AO155" s="9"/>
      <c r="AP155" s="9"/>
      <c r="AQ155" s="9"/>
      <c r="AR155" s="9"/>
      <c r="AS155" s="9"/>
      <c r="AT155" s="9"/>
      <c r="AU155" s="9"/>
      <c r="AV155" s="9"/>
      <c r="AW155" s="9"/>
      <c r="AX155" s="9"/>
    </row>
    <row r="156" spans="1:50" ht="15.75" customHeight="1" x14ac:dyDescent="0.2">
      <c r="A156" s="84"/>
      <c r="B156" s="152" t="s">
        <v>275</v>
      </c>
      <c r="C156" s="153"/>
      <c r="D156" s="154">
        <f t="shared" ref="D156:AM156" si="126">D160+D159</f>
        <v>-25360</v>
      </c>
      <c r="E156" s="154">
        <f t="shared" si="126"/>
        <v>-25360</v>
      </c>
      <c r="F156" s="154">
        <f t="shared" si="126"/>
        <v>-25360</v>
      </c>
      <c r="G156" s="154">
        <f t="shared" si="126"/>
        <v>-25360</v>
      </c>
      <c r="H156" s="154">
        <f t="shared" si="126"/>
        <v>-25360</v>
      </c>
      <c r="I156" s="154">
        <f t="shared" si="126"/>
        <v>-25360</v>
      </c>
      <c r="J156" s="154">
        <f t="shared" si="126"/>
        <v>-25360</v>
      </c>
      <c r="K156" s="154">
        <f t="shared" si="126"/>
        <v>-25360</v>
      </c>
      <c r="L156" s="154">
        <f t="shared" si="126"/>
        <v>-25360</v>
      </c>
      <c r="M156" s="154">
        <f t="shared" si="126"/>
        <v>-25360</v>
      </c>
      <c r="N156" s="154">
        <f t="shared" si="126"/>
        <v>-25360</v>
      </c>
      <c r="O156" s="328">
        <f t="shared" si="126"/>
        <v>-25360</v>
      </c>
      <c r="P156" s="154">
        <f t="shared" si="126"/>
        <v>-25360</v>
      </c>
      <c r="Q156" s="154">
        <f t="shared" si="126"/>
        <v>-25360</v>
      </c>
      <c r="R156" s="154">
        <f t="shared" si="126"/>
        <v>-25360</v>
      </c>
      <c r="S156" s="154">
        <f t="shared" si="126"/>
        <v>-25360</v>
      </c>
      <c r="T156" s="154">
        <f t="shared" si="126"/>
        <v>-25360</v>
      </c>
      <c r="U156" s="154">
        <f t="shared" si="126"/>
        <v>-25360</v>
      </c>
      <c r="V156" s="154">
        <f t="shared" si="126"/>
        <v>-25360</v>
      </c>
      <c r="W156" s="154">
        <f t="shared" si="126"/>
        <v>-25360</v>
      </c>
      <c r="X156" s="154">
        <f t="shared" si="126"/>
        <v>-25360</v>
      </c>
      <c r="Y156" s="154">
        <f t="shared" si="126"/>
        <v>-25360</v>
      </c>
      <c r="Z156" s="154">
        <f t="shared" si="126"/>
        <v>-25360</v>
      </c>
      <c r="AA156" s="328">
        <f t="shared" si="126"/>
        <v>-25360</v>
      </c>
      <c r="AB156" s="154">
        <f t="shared" si="126"/>
        <v>-25360</v>
      </c>
      <c r="AC156" s="154">
        <f t="shared" si="126"/>
        <v>-25360</v>
      </c>
      <c r="AD156" s="154">
        <f t="shared" si="126"/>
        <v>-25360</v>
      </c>
      <c r="AE156" s="154">
        <f t="shared" si="126"/>
        <v>-25360</v>
      </c>
      <c r="AF156" s="154">
        <f t="shared" si="126"/>
        <v>-25360</v>
      </c>
      <c r="AG156" s="154">
        <f t="shared" si="126"/>
        <v>-25360</v>
      </c>
      <c r="AH156" s="154">
        <f t="shared" si="126"/>
        <v>-25360</v>
      </c>
      <c r="AI156" s="154">
        <f t="shared" si="126"/>
        <v>-25360</v>
      </c>
      <c r="AJ156" s="154">
        <f t="shared" si="126"/>
        <v>-25360</v>
      </c>
      <c r="AK156" s="154">
        <f t="shared" si="126"/>
        <v>-25360</v>
      </c>
      <c r="AL156" s="154">
        <f t="shared" si="126"/>
        <v>-25360</v>
      </c>
      <c r="AM156" s="154">
        <f t="shared" si="126"/>
        <v>-25360</v>
      </c>
      <c r="AN156" s="329"/>
      <c r="AO156" s="9"/>
      <c r="AP156" s="9"/>
      <c r="AQ156" s="9"/>
      <c r="AR156" s="9"/>
      <c r="AS156" s="9"/>
      <c r="AT156" s="9"/>
      <c r="AU156" s="9"/>
      <c r="AV156" s="9"/>
      <c r="AW156" s="9"/>
      <c r="AX156" s="9"/>
    </row>
    <row r="157" spans="1:50" ht="15.75" customHeight="1" outlineLevel="1" x14ac:dyDescent="0.2">
      <c r="A157" s="16"/>
      <c r="B157" s="24" t="s">
        <v>93</v>
      </c>
      <c r="C157" s="125">
        <v>897432</v>
      </c>
      <c r="D157" s="6">
        <v>897432</v>
      </c>
      <c r="E157" s="6">
        <v>893685</v>
      </c>
      <c r="F157" s="6">
        <v>889848</v>
      </c>
      <c r="G157" s="6">
        <v>885918</v>
      </c>
      <c r="H157" s="6">
        <v>881894</v>
      </c>
      <c r="I157" s="6">
        <v>877773</v>
      </c>
      <c r="J157" s="6">
        <v>873553</v>
      </c>
      <c r="K157" s="6">
        <v>869231</v>
      </c>
      <c r="L157" s="6">
        <v>864805</v>
      </c>
      <c r="M157" s="6">
        <v>860272</v>
      </c>
      <c r="N157" s="6">
        <v>855630</v>
      </c>
      <c r="O157" s="321">
        <v>850877</v>
      </c>
      <c r="P157" s="6">
        <f t="shared" ref="P157:AM157" si="127">O161</f>
        <v>846008.94063999725</v>
      </c>
      <c r="Q157" s="6">
        <f t="shared" si="127"/>
        <v>841023.65596041048</v>
      </c>
      <c r="R157" s="6">
        <f t="shared" si="127"/>
        <v>835918.3090081237</v>
      </c>
      <c r="S157" s="6">
        <f t="shared" si="127"/>
        <v>830690.00828340265</v>
      </c>
      <c r="T157" s="6">
        <f t="shared" si="127"/>
        <v>825335.79264956131</v>
      </c>
      <c r="U157" s="6">
        <f t="shared" si="127"/>
        <v>819852.62965587154</v>
      </c>
      <c r="V157" s="6">
        <f t="shared" si="127"/>
        <v>814237.41382008384</v>
      </c>
      <c r="W157" s="6">
        <f t="shared" si="127"/>
        <v>808486.96486958419</v>
      </c>
      <c r="X157" s="6">
        <f t="shared" si="127"/>
        <v>802598.02594019333</v>
      </c>
      <c r="Y157" s="6">
        <f t="shared" si="127"/>
        <v>796567.2617315863</v>
      </c>
      <c r="Z157" s="6">
        <f t="shared" si="127"/>
        <v>790391.25661828869</v>
      </c>
      <c r="AA157" s="321">
        <f t="shared" si="127"/>
        <v>784066.51271517912</v>
      </c>
      <c r="AB157" s="6">
        <f t="shared" si="127"/>
        <v>777589.44789640303</v>
      </c>
      <c r="AC157" s="6">
        <f t="shared" si="127"/>
        <v>770956.39376657468</v>
      </c>
      <c r="AD157" s="6">
        <f t="shared" si="127"/>
        <v>764163.59358311968</v>
      </c>
      <c r="AE157" s="6">
        <f t="shared" si="127"/>
        <v>757207.20012857986</v>
      </c>
      <c r="AF157" s="6">
        <f t="shared" si="127"/>
        <v>750083.2735316765</v>
      </c>
      <c r="AG157" s="6">
        <f t="shared" si="127"/>
        <v>742787.77903589769</v>
      </c>
      <c r="AH157" s="6">
        <f t="shared" si="127"/>
        <v>735316.58471434552</v>
      </c>
      <c r="AI157" s="6">
        <f t="shared" si="127"/>
        <v>727665.45912954933</v>
      </c>
      <c r="AJ157" s="6">
        <f t="shared" si="127"/>
        <v>719830.06893691933</v>
      </c>
      <c r="AK157" s="6">
        <f t="shared" si="127"/>
        <v>711805.97643048351</v>
      </c>
      <c r="AL157" s="6">
        <f t="shared" si="127"/>
        <v>703588.63702951767</v>
      </c>
      <c r="AM157" s="6">
        <f t="shared" si="127"/>
        <v>695173.39670464525</v>
      </c>
      <c r="AN157" s="8"/>
      <c r="AO157" s="9"/>
      <c r="AP157" s="9"/>
      <c r="AQ157" s="9"/>
      <c r="AR157" s="9"/>
      <c r="AS157" s="9"/>
      <c r="AT157" s="9"/>
      <c r="AU157" s="9"/>
      <c r="AV157" s="9"/>
      <c r="AW157" s="9"/>
      <c r="AX157" s="9"/>
    </row>
    <row r="158" spans="1:50" ht="15.75" customHeight="1" outlineLevel="1" x14ac:dyDescent="0.2">
      <c r="A158" s="16"/>
      <c r="B158" s="24" t="s">
        <v>94</v>
      </c>
      <c r="C158" s="125">
        <v>25360</v>
      </c>
      <c r="D158" s="6">
        <v>-25360</v>
      </c>
      <c r="E158" s="6">
        <v>-25360</v>
      </c>
      <c r="F158" s="6">
        <v>-25360</v>
      </c>
      <c r="G158" s="6">
        <v>-25360</v>
      </c>
      <c r="H158" s="6">
        <v>-25360</v>
      </c>
      <c r="I158" s="6">
        <v>-25360</v>
      </c>
      <c r="J158" s="6">
        <v>-25360</v>
      </c>
      <c r="K158" s="6">
        <v>-25360</v>
      </c>
      <c r="L158" s="6">
        <v>-25360</v>
      </c>
      <c r="M158" s="6">
        <v>-25360</v>
      </c>
      <c r="N158" s="6">
        <v>-25360</v>
      </c>
      <c r="O158" s="321">
        <v>-25360</v>
      </c>
      <c r="P158" s="6">
        <v>-25360</v>
      </c>
      <c r="Q158" s="6">
        <v>-25360</v>
      </c>
      <c r="R158" s="6">
        <v>-25360</v>
      </c>
      <c r="S158" s="6">
        <v>-25360</v>
      </c>
      <c r="T158" s="6">
        <v>-25360</v>
      </c>
      <c r="U158" s="6">
        <v>-25360</v>
      </c>
      <c r="V158" s="6">
        <v>-25360</v>
      </c>
      <c r="W158" s="6">
        <v>-25360</v>
      </c>
      <c r="X158" s="6">
        <v>-25360</v>
      </c>
      <c r="Y158" s="6">
        <v>-25360</v>
      </c>
      <c r="Z158" s="6">
        <v>-25360</v>
      </c>
      <c r="AA158" s="321">
        <v>-25360</v>
      </c>
      <c r="AB158" s="6">
        <v>-25360</v>
      </c>
      <c r="AC158" s="6">
        <v>-25360</v>
      </c>
      <c r="AD158" s="6">
        <v>-25360</v>
      </c>
      <c r="AE158" s="6">
        <v>-25360</v>
      </c>
      <c r="AF158" s="6">
        <v>-25360</v>
      </c>
      <c r="AG158" s="6">
        <v>-25360</v>
      </c>
      <c r="AH158" s="6">
        <v>-25360</v>
      </c>
      <c r="AI158" s="6">
        <v>-25360</v>
      </c>
      <c r="AJ158" s="6">
        <v>-25360</v>
      </c>
      <c r="AK158" s="6">
        <v>-25360</v>
      </c>
      <c r="AL158" s="6">
        <v>-25360</v>
      </c>
      <c r="AM158" s="6">
        <v>-25360</v>
      </c>
      <c r="AN158" s="8"/>
      <c r="AO158" s="9"/>
      <c r="AP158" s="9"/>
      <c r="AQ158" s="9"/>
      <c r="AR158" s="9"/>
      <c r="AS158" s="9"/>
      <c r="AT158" s="9"/>
      <c r="AU158" s="9"/>
      <c r="AV158" s="9"/>
      <c r="AW158" s="9"/>
      <c r="AX158" s="9"/>
    </row>
    <row r="159" spans="1:50" ht="15.75" customHeight="1" outlineLevel="1" x14ac:dyDescent="0.2">
      <c r="A159" s="16"/>
      <c r="B159" s="24" t="s">
        <v>95</v>
      </c>
      <c r="C159" s="334">
        <v>0.28899999999999998</v>
      </c>
      <c r="D159" s="330">
        <v>-21613</v>
      </c>
      <c r="E159" s="331">
        <f t="shared" ref="E159:AM159" si="128">-D161*$C159/12</f>
        <v>-21522.913749999996</v>
      </c>
      <c r="F159" s="331">
        <f t="shared" si="128"/>
        <v>-21430.503922812499</v>
      </c>
      <c r="G159" s="331">
        <f t="shared" si="128"/>
        <v>-21335.870636141066</v>
      </c>
      <c r="H159" s="331">
        <f t="shared" si="128"/>
        <v>-21238.944051153729</v>
      </c>
      <c r="I159" s="331">
        <f t="shared" si="128"/>
        <v>-21139.698402565282</v>
      </c>
      <c r="J159" s="331">
        <f t="shared" si="128"/>
        <v>-21038.060819861781</v>
      </c>
      <c r="K159" s="331">
        <f t="shared" si="128"/>
        <v>-20933.981381411671</v>
      </c>
      <c r="L159" s="331">
        <f t="shared" si="128"/>
        <v>-20827.386634935665</v>
      </c>
      <c r="M159" s="331">
        <f t="shared" si="128"/>
        <v>-20718.226644791364</v>
      </c>
      <c r="N159" s="331">
        <f t="shared" si="128"/>
        <v>-20606.427958362056</v>
      </c>
      <c r="O159" s="335">
        <f t="shared" si="128"/>
        <v>-20491.940639997218</v>
      </c>
      <c r="P159" s="331">
        <f t="shared" si="128"/>
        <v>-20374.715320413266</v>
      </c>
      <c r="Q159" s="331">
        <f t="shared" si="128"/>
        <v>-20254.653047713218</v>
      </c>
      <c r="R159" s="331">
        <f t="shared" si="128"/>
        <v>-20131.699275278977</v>
      </c>
      <c r="S159" s="331">
        <f t="shared" si="128"/>
        <v>-20005.784366158612</v>
      </c>
      <c r="T159" s="331">
        <f t="shared" si="128"/>
        <v>-19876.837006310267</v>
      </c>
      <c r="U159" s="331">
        <f t="shared" si="128"/>
        <v>-19744.78416421224</v>
      </c>
      <c r="V159" s="331">
        <f t="shared" si="128"/>
        <v>-19609.551049500351</v>
      </c>
      <c r="W159" s="331">
        <f t="shared" si="128"/>
        <v>-19471.06107060915</v>
      </c>
      <c r="X159" s="331">
        <f t="shared" si="128"/>
        <v>-19329.235791392988</v>
      </c>
      <c r="Y159" s="331">
        <f t="shared" si="128"/>
        <v>-19183.994886702367</v>
      </c>
      <c r="Z159" s="331">
        <f t="shared" si="128"/>
        <v>-19035.256096890451</v>
      </c>
      <c r="AA159" s="335">
        <f t="shared" si="128"/>
        <v>-18882.935181223897</v>
      </c>
      <c r="AB159" s="331">
        <f t="shared" si="128"/>
        <v>-18726.945870171705</v>
      </c>
      <c r="AC159" s="331">
        <f t="shared" si="128"/>
        <v>-18567.199816545006</v>
      </c>
      <c r="AD159" s="331">
        <f t="shared" si="128"/>
        <v>-18403.60654546013</v>
      </c>
      <c r="AE159" s="331">
        <f t="shared" si="128"/>
        <v>-18236.07340309663</v>
      </c>
      <c r="AF159" s="331">
        <f t="shared" si="128"/>
        <v>-18064.505504221208</v>
      </c>
      <c r="AG159" s="331">
        <f t="shared" si="128"/>
        <v>-17888.805678447869</v>
      </c>
      <c r="AH159" s="331">
        <f t="shared" si="128"/>
        <v>-17708.87441520382</v>
      </c>
      <c r="AI159" s="331">
        <f t="shared" si="128"/>
        <v>-17524.60980736998</v>
      </c>
      <c r="AJ159" s="331">
        <f t="shared" si="128"/>
        <v>-17335.90749356414</v>
      </c>
      <c r="AK159" s="331">
        <f t="shared" si="128"/>
        <v>-17142.660599034145</v>
      </c>
      <c r="AL159" s="331">
        <f t="shared" si="128"/>
        <v>-16944.759675127549</v>
      </c>
      <c r="AM159" s="332">
        <f t="shared" si="128"/>
        <v>-16742.092637303536</v>
      </c>
      <c r="AN159" s="5"/>
      <c r="AO159" s="9"/>
      <c r="AP159" s="9"/>
      <c r="AQ159" s="9"/>
      <c r="AR159" s="9"/>
      <c r="AS159" s="9"/>
      <c r="AT159" s="9"/>
      <c r="AU159" s="9"/>
      <c r="AV159" s="9"/>
      <c r="AW159" s="9"/>
      <c r="AX159" s="9"/>
    </row>
    <row r="160" spans="1:50" ht="15.75" customHeight="1" outlineLevel="1" x14ac:dyDescent="0.2">
      <c r="A160" s="16"/>
      <c r="B160" s="24" t="s">
        <v>96</v>
      </c>
      <c r="C160" s="156"/>
      <c r="D160" s="6">
        <f t="shared" ref="D160:AM160" si="129">D158-D159</f>
        <v>-3747</v>
      </c>
      <c r="E160" s="6">
        <f t="shared" si="129"/>
        <v>-3837.0862500000039</v>
      </c>
      <c r="F160" s="6">
        <f t="shared" si="129"/>
        <v>-3929.4960771875012</v>
      </c>
      <c r="G160" s="6">
        <f t="shared" si="129"/>
        <v>-4024.1293638589341</v>
      </c>
      <c r="H160" s="6">
        <f t="shared" si="129"/>
        <v>-4121.0559488462713</v>
      </c>
      <c r="I160" s="6">
        <f t="shared" si="129"/>
        <v>-4220.3015974347181</v>
      </c>
      <c r="J160" s="6">
        <f t="shared" si="129"/>
        <v>-4321.9391801382189</v>
      </c>
      <c r="K160" s="6">
        <f t="shared" si="129"/>
        <v>-4426.0186185883285</v>
      </c>
      <c r="L160" s="6">
        <f t="shared" si="129"/>
        <v>-4532.6133650643351</v>
      </c>
      <c r="M160" s="6">
        <f t="shared" si="129"/>
        <v>-4641.7733552086356</v>
      </c>
      <c r="N160" s="6">
        <f t="shared" si="129"/>
        <v>-4753.5720416379445</v>
      </c>
      <c r="O160" s="321">
        <f t="shared" si="129"/>
        <v>-4868.0593600027823</v>
      </c>
      <c r="P160" s="6">
        <f t="shared" si="129"/>
        <v>-4985.2846795867335</v>
      </c>
      <c r="Q160" s="6">
        <f t="shared" si="129"/>
        <v>-5105.3469522867817</v>
      </c>
      <c r="R160" s="6">
        <f t="shared" si="129"/>
        <v>-5228.3007247210226</v>
      </c>
      <c r="S160" s="6">
        <f t="shared" si="129"/>
        <v>-5354.2156338413879</v>
      </c>
      <c r="T160" s="6">
        <f t="shared" si="129"/>
        <v>-5483.1629936897334</v>
      </c>
      <c r="U160" s="6">
        <f t="shared" si="129"/>
        <v>-5615.2158357877597</v>
      </c>
      <c r="V160" s="6">
        <f t="shared" si="129"/>
        <v>-5750.4489504996491</v>
      </c>
      <c r="W160" s="6">
        <f t="shared" si="129"/>
        <v>-5888.9389293908498</v>
      </c>
      <c r="X160" s="6">
        <f t="shared" si="129"/>
        <v>-6030.7642086070118</v>
      </c>
      <c r="Y160" s="6">
        <f t="shared" si="129"/>
        <v>-6176.0051132976332</v>
      </c>
      <c r="Z160" s="6">
        <f t="shared" si="129"/>
        <v>-6324.7439031095491</v>
      </c>
      <c r="AA160" s="321">
        <f t="shared" si="129"/>
        <v>-6477.0648187761035</v>
      </c>
      <c r="AB160" s="6">
        <f t="shared" si="129"/>
        <v>-6633.0541298282951</v>
      </c>
      <c r="AC160" s="6">
        <f t="shared" si="129"/>
        <v>-6792.8001834549941</v>
      </c>
      <c r="AD160" s="6">
        <f t="shared" si="129"/>
        <v>-6956.3934545398697</v>
      </c>
      <c r="AE160" s="6">
        <f t="shared" si="129"/>
        <v>-7123.9265969033695</v>
      </c>
      <c r="AF160" s="6">
        <f t="shared" si="129"/>
        <v>-7295.494495778792</v>
      </c>
      <c r="AG160" s="6">
        <f t="shared" si="129"/>
        <v>-7471.1943215521314</v>
      </c>
      <c r="AH160" s="6">
        <f t="shared" si="129"/>
        <v>-7651.1255847961802</v>
      </c>
      <c r="AI160" s="6">
        <f t="shared" si="129"/>
        <v>-7835.3901926300205</v>
      </c>
      <c r="AJ160" s="6">
        <f t="shared" si="129"/>
        <v>-8024.0925064358598</v>
      </c>
      <c r="AK160" s="6">
        <f t="shared" si="129"/>
        <v>-8217.339400965855</v>
      </c>
      <c r="AL160" s="6">
        <f t="shared" si="129"/>
        <v>-8415.2403248724513</v>
      </c>
      <c r="AM160" s="6">
        <f t="shared" si="129"/>
        <v>-8617.9073626964637</v>
      </c>
      <c r="AN160" s="8"/>
      <c r="AO160" s="9"/>
      <c r="AP160" s="9"/>
      <c r="AQ160" s="9"/>
      <c r="AR160" s="9"/>
      <c r="AS160" s="9"/>
      <c r="AT160" s="9"/>
      <c r="AU160" s="9"/>
      <c r="AV160" s="9"/>
      <c r="AW160" s="9"/>
      <c r="AX160" s="9"/>
    </row>
    <row r="161" spans="1:50" ht="15.75" customHeight="1" outlineLevel="1" x14ac:dyDescent="0.2">
      <c r="A161" s="16"/>
      <c r="B161" s="24" t="s">
        <v>97</v>
      </c>
      <c r="C161" s="156"/>
      <c r="D161" s="5">
        <f t="shared" ref="D161:AM161" si="130">D157+D160</f>
        <v>893685</v>
      </c>
      <c r="E161" s="5">
        <f t="shared" si="130"/>
        <v>889847.91374999995</v>
      </c>
      <c r="F161" s="5">
        <f t="shared" si="130"/>
        <v>885918.50392281252</v>
      </c>
      <c r="G161" s="5">
        <f t="shared" si="130"/>
        <v>881893.87063614104</v>
      </c>
      <c r="H161" s="5">
        <f t="shared" si="130"/>
        <v>877772.94405115373</v>
      </c>
      <c r="I161" s="5">
        <f t="shared" si="130"/>
        <v>873552.69840256532</v>
      </c>
      <c r="J161" s="5">
        <f t="shared" si="130"/>
        <v>869231.06081986183</v>
      </c>
      <c r="K161" s="5">
        <f t="shared" si="130"/>
        <v>864804.98138141166</v>
      </c>
      <c r="L161" s="5">
        <f t="shared" si="130"/>
        <v>860272.38663493562</v>
      </c>
      <c r="M161" s="5">
        <f t="shared" si="130"/>
        <v>855630.22664479131</v>
      </c>
      <c r="N161" s="5">
        <f t="shared" si="130"/>
        <v>850876.42795836204</v>
      </c>
      <c r="O161" s="264">
        <f t="shared" si="130"/>
        <v>846008.94063999725</v>
      </c>
      <c r="P161" s="5">
        <f t="shared" si="130"/>
        <v>841023.65596041048</v>
      </c>
      <c r="Q161" s="5">
        <f t="shared" si="130"/>
        <v>835918.3090081237</v>
      </c>
      <c r="R161" s="5">
        <f t="shared" si="130"/>
        <v>830690.00828340265</v>
      </c>
      <c r="S161" s="5">
        <f t="shared" si="130"/>
        <v>825335.79264956131</v>
      </c>
      <c r="T161" s="5">
        <f t="shared" si="130"/>
        <v>819852.62965587154</v>
      </c>
      <c r="U161" s="5">
        <f t="shared" si="130"/>
        <v>814237.41382008384</v>
      </c>
      <c r="V161" s="5">
        <f t="shared" si="130"/>
        <v>808486.96486958419</v>
      </c>
      <c r="W161" s="5">
        <f t="shared" si="130"/>
        <v>802598.02594019333</v>
      </c>
      <c r="X161" s="5">
        <f t="shared" si="130"/>
        <v>796567.2617315863</v>
      </c>
      <c r="Y161" s="5">
        <f t="shared" si="130"/>
        <v>790391.25661828869</v>
      </c>
      <c r="Z161" s="5">
        <f t="shared" si="130"/>
        <v>784066.51271517912</v>
      </c>
      <c r="AA161" s="264">
        <f t="shared" si="130"/>
        <v>777589.44789640303</v>
      </c>
      <c r="AB161" s="5">
        <f t="shared" si="130"/>
        <v>770956.39376657468</v>
      </c>
      <c r="AC161" s="5">
        <f t="shared" si="130"/>
        <v>764163.59358311968</v>
      </c>
      <c r="AD161" s="5">
        <f t="shared" si="130"/>
        <v>757207.20012857986</v>
      </c>
      <c r="AE161" s="5">
        <f t="shared" si="130"/>
        <v>750083.2735316765</v>
      </c>
      <c r="AF161" s="5">
        <f t="shared" si="130"/>
        <v>742787.77903589769</v>
      </c>
      <c r="AG161" s="5">
        <f t="shared" si="130"/>
        <v>735316.58471434552</v>
      </c>
      <c r="AH161" s="5">
        <f t="shared" si="130"/>
        <v>727665.45912954933</v>
      </c>
      <c r="AI161" s="5">
        <f t="shared" si="130"/>
        <v>719830.06893691933</v>
      </c>
      <c r="AJ161" s="5">
        <f t="shared" si="130"/>
        <v>711805.97643048351</v>
      </c>
      <c r="AK161" s="5">
        <f t="shared" si="130"/>
        <v>703588.63702951767</v>
      </c>
      <c r="AL161" s="5">
        <f t="shared" si="130"/>
        <v>695173.39670464525</v>
      </c>
      <c r="AM161" s="5">
        <f t="shared" si="130"/>
        <v>686555.48934194876</v>
      </c>
      <c r="AN161" s="8"/>
      <c r="AO161" s="9"/>
      <c r="AP161" s="9"/>
      <c r="AQ161" s="9"/>
      <c r="AR161" s="9"/>
      <c r="AS161" s="9"/>
      <c r="AT161" s="9"/>
      <c r="AU161" s="9"/>
      <c r="AV161" s="9"/>
      <c r="AW161" s="9"/>
      <c r="AX161" s="9"/>
    </row>
    <row r="162" spans="1:50" ht="15.75" customHeight="1" x14ac:dyDescent="0.2">
      <c r="A162" s="84"/>
      <c r="B162" s="152" t="s">
        <v>276</v>
      </c>
      <c r="C162" s="153"/>
      <c r="D162" s="154">
        <f t="shared" ref="D162:Z162" si="131">D165+D166</f>
        <v>-7540</v>
      </c>
      <c r="E162" s="154">
        <f t="shared" si="131"/>
        <v>-7540</v>
      </c>
      <c r="F162" s="154">
        <f t="shared" si="131"/>
        <v>-7540</v>
      </c>
      <c r="G162" s="154">
        <f t="shared" si="131"/>
        <v>-7540</v>
      </c>
      <c r="H162" s="154">
        <f t="shared" si="131"/>
        <v>-7540</v>
      </c>
      <c r="I162" s="154">
        <f t="shared" si="131"/>
        <v>-7540</v>
      </c>
      <c r="J162" s="154">
        <f t="shared" si="131"/>
        <v>-7540</v>
      </c>
      <c r="K162" s="154">
        <f t="shared" si="131"/>
        <v>-7540</v>
      </c>
      <c r="L162" s="154">
        <f t="shared" si="131"/>
        <v>-7540</v>
      </c>
      <c r="M162" s="154">
        <f t="shared" si="131"/>
        <v>-7540</v>
      </c>
      <c r="N162" s="154">
        <f t="shared" si="131"/>
        <v>-7540</v>
      </c>
      <c r="O162" s="328">
        <f t="shared" si="131"/>
        <v>-7540</v>
      </c>
      <c r="P162" s="154">
        <f t="shared" si="131"/>
        <v>-7540</v>
      </c>
      <c r="Q162" s="154">
        <f t="shared" si="131"/>
        <v>-7540</v>
      </c>
      <c r="R162" s="154">
        <f t="shared" si="131"/>
        <v>-7540</v>
      </c>
      <c r="S162" s="154">
        <f t="shared" si="131"/>
        <v>-7540</v>
      </c>
      <c r="T162" s="154">
        <f t="shared" si="131"/>
        <v>-7540</v>
      </c>
      <c r="U162" s="154">
        <f t="shared" si="131"/>
        <v>-7540</v>
      </c>
      <c r="V162" s="154">
        <f t="shared" si="131"/>
        <v>-7540</v>
      </c>
      <c r="W162" s="154">
        <f t="shared" si="131"/>
        <v>-7540</v>
      </c>
      <c r="X162" s="154">
        <f t="shared" si="131"/>
        <v>-7540</v>
      </c>
      <c r="Y162" s="154">
        <f t="shared" si="131"/>
        <v>-7540</v>
      </c>
      <c r="Z162" s="154">
        <f t="shared" si="131"/>
        <v>-1806</v>
      </c>
      <c r="AA162" s="328"/>
      <c r="AB162" s="154"/>
      <c r="AC162" s="154"/>
      <c r="AD162" s="154"/>
      <c r="AE162" s="154"/>
      <c r="AF162" s="154"/>
      <c r="AG162" s="154"/>
      <c r="AH162" s="154"/>
      <c r="AI162" s="154"/>
      <c r="AJ162" s="154"/>
      <c r="AK162" s="154"/>
      <c r="AL162" s="154"/>
      <c r="AM162" s="154"/>
      <c r="AN162" s="329"/>
      <c r="AO162" s="9"/>
      <c r="AP162" s="9"/>
      <c r="AQ162" s="9"/>
      <c r="AR162" s="9"/>
      <c r="AS162" s="9"/>
      <c r="AT162" s="9"/>
      <c r="AU162" s="9"/>
      <c r="AV162" s="9"/>
      <c r="AW162" s="9"/>
      <c r="AX162" s="9"/>
    </row>
    <row r="163" spans="1:50" ht="15.75" customHeight="1" outlineLevel="1" x14ac:dyDescent="0.2">
      <c r="A163" s="16"/>
      <c r="B163" s="24" t="s">
        <v>93</v>
      </c>
      <c r="C163" s="125">
        <v>122185</v>
      </c>
      <c r="D163" s="6">
        <v>122185</v>
      </c>
      <c r="E163" s="6">
        <v>118198</v>
      </c>
      <c r="F163" s="6">
        <v>114096</v>
      </c>
      <c r="G163" s="6">
        <v>109874</v>
      </c>
      <c r="H163" s="6">
        <v>105530</v>
      </c>
      <c r="I163" s="6">
        <v>101059</v>
      </c>
      <c r="J163" s="6">
        <v>96458</v>
      </c>
      <c r="K163" s="6">
        <v>91723</v>
      </c>
      <c r="L163" s="6">
        <v>86851</v>
      </c>
      <c r="M163" s="6">
        <v>81837</v>
      </c>
      <c r="N163" s="6">
        <v>76677</v>
      </c>
      <c r="O163" s="321">
        <v>71367</v>
      </c>
      <c r="P163" s="6">
        <f t="shared" ref="P163:Z163" si="132">O167</f>
        <v>65908.730594615525</v>
      </c>
      <c r="Q163" s="6">
        <f t="shared" si="132"/>
        <v>60291.068570291813</v>
      </c>
      <c r="R163" s="6">
        <f t="shared" si="132"/>
        <v>54509.558070258659</v>
      </c>
      <c r="S163" s="6">
        <f t="shared" si="132"/>
        <v>48559.420180641202</v>
      </c>
      <c r="T163" s="6">
        <f t="shared" si="132"/>
        <v>42435.736602576573</v>
      </c>
      <c r="U163" s="6">
        <f t="shared" si="132"/>
        <v>36133.445586818387</v>
      </c>
      <c r="V163" s="6">
        <f t="shared" si="132"/>
        <v>29647.337749767255</v>
      </c>
      <c r="W163" s="6">
        <f t="shared" si="132"/>
        <v>22972.051767468802</v>
      </c>
      <c r="X163" s="6">
        <f t="shared" si="132"/>
        <v>16102.069944019975</v>
      </c>
      <c r="Y163" s="6">
        <f t="shared" si="132"/>
        <v>9031.7136507205578</v>
      </c>
      <c r="Z163" s="6">
        <f t="shared" si="132"/>
        <v>1755.1386321999071</v>
      </c>
      <c r="AA163" s="321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8"/>
      <c r="AO163" s="9"/>
      <c r="AP163" s="9"/>
      <c r="AQ163" s="9"/>
      <c r="AR163" s="9"/>
      <c r="AS163" s="9"/>
      <c r="AT163" s="9"/>
      <c r="AU163" s="9"/>
      <c r="AV163" s="9"/>
      <c r="AW163" s="9"/>
      <c r="AX163" s="9"/>
    </row>
    <row r="164" spans="1:50" ht="15.75" customHeight="1" outlineLevel="1" x14ac:dyDescent="0.2">
      <c r="A164" s="16"/>
      <c r="B164" s="24" t="s">
        <v>94</v>
      </c>
      <c r="C164" s="125">
        <v>7540</v>
      </c>
      <c r="D164" s="5">
        <f t="shared" ref="D164:Y164" si="133">-$C164</f>
        <v>-7540</v>
      </c>
      <c r="E164" s="5">
        <f t="shared" si="133"/>
        <v>-7540</v>
      </c>
      <c r="F164" s="5">
        <f t="shared" si="133"/>
        <v>-7540</v>
      </c>
      <c r="G164" s="5">
        <f t="shared" si="133"/>
        <v>-7540</v>
      </c>
      <c r="H164" s="5">
        <f t="shared" si="133"/>
        <v>-7540</v>
      </c>
      <c r="I164" s="5">
        <f t="shared" si="133"/>
        <v>-7540</v>
      </c>
      <c r="J164" s="5">
        <f t="shared" si="133"/>
        <v>-7540</v>
      </c>
      <c r="K164" s="5">
        <f t="shared" si="133"/>
        <v>-7540</v>
      </c>
      <c r="L164" s="5">
        <f t="shared" si="133"/>
        <v>-7540</v>
      </c>
      <c r="M164" s="5">
        <f t="shared" si="133"/>
        <v>-7540</v>
      </c>
      <c r="N164" s="5">
        <f t="shared" si="133"/>
        <v>-7540</v>
      </c>
      <c r="O164" s="264">
        <f t="shared" si="133"/>
        <v>-7540</v>
      </c>
      <c r="P164" s="5">
        <f t="shared" si="133"/>
        <v>-7540</v>
      </c>
      <c r="Q164" s="5">
        <f t="shared" si="133"/>
        <v>-7540</v>
      </c>
      <c r="R164" s="5">
        <f t="shared" si="133"/>
        <v>-7540</v>
      </c>
      <c r="S164" s="5">
        <f t="shared" si="133"/>
        <v>-7540</v>
      </c>
      <c r="T164" s="5">
        <f t="shared" si="133"/>
        <v>-7540</v>
      </c>
      <c r="U164" s="5">
        <f t="shared" si="133"/>
        <v>-7540</v>
      </c>
      <c r="V164" s="5">
        <f t="shared" si="133"/>
        <v>-7540</v>
      </c>
      <c r="W164" s="5">
        <f t="shared" si="133"/>
        <v>-7540</v>
      </c>
      <c r="X164" s="5">
        <f t="shared" si="133"/>
        <v>-7540</v>
      </c>
      <c r="Y164" s="5">
        <f t="shared" si="133"/>
        <v>-7540</v>
      </c>
      <c r="Z164" s="6">
        <v>-1806</v>
      </c>
      <c r="AA164" s="264"/>
      <c r="AB164" s="5"/>
      <c r="AC164" s="5"/>
      <c r="AD164" s="5"/>
      <c r="AE164" s="5"/>
      <c r="AF164" s="5"/>
      <c r="AG164" s="5"/>
      <c r="AH164" s="5"/>
      <c r="AI164" s="5"/>
      <c r="AJ164" s="5"/>
      <c r="AK164" s="5"/>
      <c r="AL164" s="5"/>
      <c r="AM164" s="5"/>
      <c r="AN164" s="8"/>
      <c r="AO164" s="9"/>
      <c r="AP164" s="9"/>
      <c r="AQ164" s="9"/>
      <c r="AR164" s="9"/>
      <c r="AS164" s="9"/>
      <c r="AT164" s="9"/>
      <c r="AU164" s="9"/>
      <c r="AV164" s="9"/>
      <c r="AW164" s="9"/>
      <c r="AX164" s="9"/>
    </row>
    <row r="165" spans="1:50" ht="15.75" customHeight="1" outlineLevel="1" x14ac:dyDescent="0.2">
      <c r="A165" s="16"/>
      <c r="B165" s="24" t="s">
        <v>95</v>
      </c>
      <c r="C165" s="159">
        <v>0.35</v>
      </c>
      <c r="D165" s="330">
        <v>-3554</v>
      </c>
      <c r="E165" s="331">
        <f t="shared" ref="E165:Z165" si="134">-D167*$C165/12</f>
        <v>-3447.4708333333328</v>
      </c>
      <c r="F165" s="331">
        <f t="shared" si="134"/>
        <v>-3328.0762326388885</v>
      </c>
      <c r="G165" s="331">
        <f t="shared" si="134"/>
        <v>-3204.9522234519677</v>
      </c>
      <c r="H165" s="331">
        <f t="shared" si="134"/>
        <v>-3078.2194398506822</v>
      </c>
      <c r="I165" s="331">
        <f t="shared" si="134"/>
        <v>-2947.8230669956447</v>
      </c>
      <c r="J165" s="331">
        <f t="shared" si="134"/>
        <v>-2813.6156727873727</v>
      </c>
      <c r="K165" s="331">
        <f t="shared" si="134"/>
        <v>-2675.5054571229648</v>
      </c>
      <c r="L165" s="331">
        <f t="shared" si="134"/>
        <v>-2533.3730758327533</v>
      </c>
      <c r="M165" s="331">
        <f t="shared" si="134"/>
        <v>-2387.1275480451218</v>
      </c>
      <c r="N165" s="331">
        <f t="shared" si="134"/>
        <v>-2236.6203868179828</v>
      </c>
      <c r="O165" s="335">
        <f t="shared" si="134"/>
        <v>-2081.7305946155243</v>
      </c>
      <c r="P165" s="331">
        <f t="shared" si="134"/>
        <v>-1922.3379756762861</v>
      </c>
      <c r="Q165" s="331">
        <f t="shared" si="134"/>
        <v>-1758.4894999668443</v>
      </c>
      <c r="R165" s="331">
        <f t="shared" si="134"/>
        <v>-1589.8621103825442</v>
      </c>
      <c r="S165" s="331">
        <f t="shared" si="134"/>
        <v>-1416.3164219353685</v>
      </c>
      <c r="T165" s="331">
        <f t="shared" si="134"/>
        <v>-1237.7089842418166</v>
      </c>
      <c r="U165" s="331">
        <f t="shared" si="134"/>
        <v>-1053.8921629488696</v>
      </c>
      <c r="V165" s="331">
        <f t="shared" si="134"/>
        <v>-864.71401770154489</v>
      </c>
      <c r="W165" s="331">
        <f t="shared" si="134"/>
        <v>-670.01817655117327</v>
      </c>
      <c r="X165" s="331">
        <f t="shared" si="134"/>
        <v>-469.64370670058253</v>
      </c>
      <c r="Y165" s="331">
        <f t="shared" si="134"/>
        <v>-263.42498147934958</v>
      </c>
      <c r="Z165" s="332">
        <f t="shared" si="134"/>
        <v>-51.191543439163951</v>
      </c>
      <c r="AA165" s="321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5"/>
      <c r="AO165" s="9"/>
      <c r="AP165" s="9"/>
      <c r="AQ165" s="9"/>
      <c r="AR165" s="9"/>
      <c r="AS165" s="9"/>
      <c r="AT165" s="9"/>
      <c r="AU165" s="9"/>
      <c r="AV165" s="9"/>
      <c r="AW165" s="9"/>
      <c r="AX165" s="9"/>
    </row>
    <row r="166" spans="1:50" ht="15.75" customHeight="1" outlineLevel="1" x14ac:dyDescent="0.2">
      <c r="A166" s="16"/>
      <c r="B166" s="24" t="s">
        <v>96</v>
      </c>
      <c r="C166" s="156"/>
      <c r="D166" s="6">
        <v>-3986</v>
      </c>
      <c r="E166" s="6">
        <f t="shared" ref="E166:Z166" si="135">E164-E165</f>
        <v>-4092.5291666666672</v>
      </c>
      <c r="F166" s="6">
        <f t="shared" si="135"/>
        <v>-4211.9237673611115</v>
      </c>
      <c r="G166" s="6">
        <f t="shared" si="135"/>
        <v>-4335.0477765480318</v>
      </c>
      <c r="H166" s="6">
        <f t="shared" si="135"/>
        <v>-4461.7805601493183</v>
      </c>
      <c r="I166" s="6">
        <f t="shared" si="135"/>
        <v>-4592.1769330043553</v>
      </c>
      <c r="J166" s="6">
        <f t="shared" si="135"/>
        <v>-4726.3843272126269</v>
      </c>
      <c r="K166" s="6">
        <f t="shared" si="135"/>
        <v>-4864.4945428770352</v>
      </c>
      <c r="L166" s="6">
        <f t="shared" si="135"/>
        <v>-5006.6269241672471</v>
      </c>
      <c r="M166" s="6">
        <f t="shared" si="135"/>
        <v>-5152.8724519548778</v>
      </c>
      <c r="N166" s="6">
        <f t="shared" si="135"/>
        <v>-5303.3796131820172</v>
      </c>
      <c r="O166" s="321">
        <f t="shared" si="135"/>
        <v>-5458.2694053844752</v>
      </c>
      <c r="P166" s="6">
        <f t="shared" si="135"/>
        <v>-5617.6620243237139</v>
      </c>
      <c r="Q166" s="6">
        <f t="shared" si="135"/>
        <v>-5781.5105000331559</v>
      </c>
      <c r="R166" s="6">
        <f t="shared" si="135"/>
        <v>-5950.1378896174556</v>
      </c>
      <c r="S166" s="6">
        <f t="shared" si="135"/>
        <v>-6123.6835780646315</v>
      </c>
      <c r="T166" s="6">
        <f t="shared" si="135"/>
        <v>-6302.2910157581837</v>
      </c>
      <c r="U166" s="6">
        <f t="shared" si="135"/>
        <v>-6486.1078370511304</v>
      </c>
      <c r="V166" s="6">
        <f t="shared" si="135"/>
        <v>-6675.2859822984556</v>
      </c>
      <c r="W166" s="6">
        <f t="shared" si="135"/>
        <v>-6869.9818234488266</v>
      </c>
      <c r="X166" s="6">
        <f t="shared" si="135"/>
        <v>-7070.3562932994173</v>
      </c>
      <c r="Y166" s="6">
        <f t="shared" si="135"/>
        <v>-7276.5750185206507</v>
      </c>
      <c r="Z166" s="6">
        <f t="shared" si="135"/>
        <v>-1754.808456560836</v>
      </c>
      <c r="AA166" s="321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8"/>
      <c r="AO166" s="9"/>
      <c r="AP166" s="9"/>
      <c r="AQ166" s="9"/>
      <c r="AR166" s="9"/>
      <c r="AS166" s="9"/>
      <c r="AT166" s="9"/>
      <c r="AU166" s="9"/>
      <c r="AV166" s="9"/>
      <c r="AW166" s="9"/>
      <c r="AX166" s="9"/>
    </row>
    <row r="167" spans="1:50" ht="15.75" customHeight="1" outlineLevel="1" x14ac:dyDescent="0.2">
      <c r="A167" s="16"/>
      <c r="B167" s="24" t="s">
        <v>97</v>
      </c>
      <c r="C167" s="156"/>
      <c r="D167" s="5">
        <f t="shared" ref="D167:Z167" si="136">D163+D166</f>
        <v>118199</v>
      </c>
      <c r="E167" s="5">
        <f t="shared" si="136"/>
        <v>114105.47083333333</v>
      </c>
      <c r="F167" s="5">
        <f t="shared" si="136"/>
        <v>109884.07623263889</v>
      </c>
      <c r="G167" s="5">
        <f t="shared" si="136"/>
        <v>105538.95222345197</v>
      </c>
      <c r="H167" s="5">
        <f t="shared" si="136"/>
        <v>101068.21943985068</v>
      </c>
      <c r="I167" s="5">
        <f t="shared" si="136"/>
        <v>96466.823066995639</v>
      </c>
      <c r="J167" s="5">
        <f t="shared" si="136"/>
        <v>91731.615672787375</v>
      </c>
      <c r="K167" s="5">
        <f t="shared" si="136"/>
        <v>86858.50545712297</v>
      </c>
      <c r="L167" s="5">
        <f t="shared" si="136"/>
        <v>81844.373075832758</v>
      </c>
      <c r="M167" s="5">
        <f t="shared" si="136"/>
        <v>76684.12754804513</v>
      </c>
      <c r="N167" s="5">
        <f t="shared" si="136"/>
        <v>71373.620386817987</v>
      </c>
      <c r="O167" s="264">
        <f t="shared" si="136"/>
        <v>65908.730594615525</v>
      </c>
      <c r="P167" s="5">
        <f t="shared" si="136"/>
        <v>60291.068570291813</v>
      </c>
      <c r="Q167" s="5">
        <f t="shared" si="136"/>
        <v>54509.558070258659</v>
      </c>
      <c r="R167" s="5">
        <f t="shared" si="136"/>
        <v>48559.420180641202</v>
      </c>
      <c r="S167" s="5">
        <f t="shared" si="136"/>
        <v>42435.736602576573</v>
      </c>
      <c r="T167" s="5">
        <f t="shared" si="136"/>
        <v>36133.445586818387</v>
      </c>
      <c r="U167" s="5">
        <f t="shared" si="136"/>
        <v>29647.337749767255</v>
      </c>
      <c r="V167" s="5">
        <f t="shared" si="136"/>
        <v>22972.051767468802</v>
      </c>
      <c r="W167" s="5">
        <f t="shared" si="136"/>
        <v>16102.069944019975</v>
      </c>
      <c r="X167" s="5">
        <f t="shared" si="136"/>
        <v>9031.7136507205578</v>
      </c>
      <c r="Y167" s="5">
        <f t="shared" si="136"/>
        <v>1755.1386321999071</v>
      </c>
      <c r="Z167" s="333">
        <f t="shared" si="136"/>
        <v>0.33017563907105796</v>
      </c>
      <c r="AA167" s="264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8"/>
      <c r="AO167" s="9"/>
      <c r="AP167" s="9"/>
      <c r="AQ167" s="9"/>
      <c r="AR167" s="9"/>
      <c r="AS167" s="9"/>
      <c r="AT167" s="9"/>
      <c r="AU167" s="9"/>
      <c r="AV167" s="9"/>
      <c r="AW167" s="9"/>
      <c r="AX167" s="9"/>
    </row>
    <row r="168" spans="1:50" ht="15.75" customHeight="1" x14ac:dyDescent="0.2">
      <c r="A168" s="16"/>
      <c r="B168" s="152" t="s">
        <v>277</v>
      </c>
      <c r="C168" s="156"/>
      <c r="D168" s="154">
        <f t="shared" ref="D168:V168" si="137">D170</f>
        <v>-12510</v>
      </c>
      <c r="E168" s="154">
        <f t="shared" si="137"/>
        <v>-12510</v>
      </c>
      <c r="F168" s="154">
        <f t="shared" si="137"/>
        <v>-12510</v>
      </c>
      <c r="G168" s="154">
        <f t="shared" si="137"/>
        <v>-12510</v>
      </c>
      <c r="H168" s="154">
        <f t="shared" si="137"/>
        <v>-12510</v>
      </c>
      <c r="I168" s="154">
        <f t="shared" si="137"/>
        <v>-12510</v>
      </c>
      <c r="J168" s="154">
        <f t="shared" si="137"/>
        <v>-12510</v>
      </c>
      <c r="K168" s="154">
        <f t="shared" si="137"/>
        <v>-12510</v>
      </c>
      <c r="L168" s="154">
        <f t="shared" si="137"/>
        <v>-12510</v>
      </c>
      <c r="M168" s="154">
        <f t="shared" si="137"/>
        <v>-12510</v>
      </c>
      <c r="N168" s="154">
        <f t="shared" si="137"/>
        <v>-12510</v>
      </c>
      <c r="O168" s="328">
        <f t="shared" si="137"/>
        <v>-12510</v>
      </c>
      <c r="P168" s="154">
        <f t="shared" si="137"/>
        <v>-12510</v>
      </c>
      <c r="Q168" s="154">
        <f t="shared" si="137"/>
        <v>-12510</v>
      </c>
      <c r="R168" s="154">
        <f t="shared" si="137"/>
        <v>-12510</v>
      </c>
      <c r="S168" s="154">
        <f t="shared" si="137"/>
        <v>-12510</v>
      </c>
      <c r="T168" s="154">
        <f t="shared" si="137"/>
        <v>-12510</v>
      </c>
      <c r="U168" s="154">
        <f t="shared" si="137"/>
        <v>-12510</v>
      </c>
      <c r="V168" s="154">
        <f t="shared" si="137"/>
        <v>-10834</v>
      </c>
      <c r="W168" s="154"/>
      <c r="X168" s="154"/>
      <c r="Y168" s="154"/>
      <c r="Z168" s="154"/>
      <c r="AA168" s="328"/>
      <c r="AB168" s="154"/>
      <c r="AC168" s="154"/>
      <c r="AD168" s="154"/>
      <c r="AE168" s="154"/>
      <c r="AF168" s="154"/>
      <c r="AG168" s="154"/>
      <c r="AH168" s="154"/>
      <c r="AI168" s="154"/>
      <c r="AJ168" s="154"/>
      <c r="AK168" s="154"/>
      <c r="AL168" s="154"/>
      <c r="AM168" s="154"/>
      <c r="AN168" s="8"/>
      <c r="AO168" s="9"/>
      <c r="AP168" s="9"/>
      <c r="AQ168" s="9"/>
      <c r="AR168" s="9"/>
      <c r="AS168" s="9"/>
      <c r="AT168" s="9"/>
      <c r="AU168" s="9"/>
      <c r="AV168" s="9"/>
      <c r="AW168" s="9"/>
      <c r="AX168" s="9"/>
    </row>
    <row r="169" spans="1:50" ht="15.75" customHeight="1" outlineLevel="1" x14ac:dyDescent="0.2">
      <c r="A169" s="16"/>
      <c r="B169" s="24" t="s">
        <v>93</v>
      </c>
      <c r="C169" s="125">
        <v>235663.89</v>
      </c>
      <c r="D169" s="51">
        <f>C169</f>
        <v>235663.89</v>
      </c>
      <c r="E169" s="51">
        <f t="shared" ref="E169:V169" si="138">D173</f>
        <v>223343.30000000002</v>
      </c>
      <c r="F169" s="51">
        <f t="shared" si="138"/>
        <v>211012.36000000002</v>
      </c>
      <c r="G169" s="51">
        <f t="shared" si="138"/>
        <v>198654.64</v>
      </c>
      <c r="H169" s="51">
        <f t="shared" si="138"/>
        <v>186302.73</v>
      </c>
      <c r="I169" s="51">
        <f t="shared" si="138"/>
        <v>173945.1</v>
      </c>
      <c r="J169" s="51">
        <f t="shared" si="138"/>
        <v>161563.36000000002</v>
      </c>
      <c r="K169" s="51">
        <f t="shared" si="138"/>
        <v>149175.87000000002</v>
      </c>
      <c r="L169" s="51">
        <f t="shared" si="138"/>
        <v>136785.69000000003</v>
      </c>
      <c r="M169" s="51">
        <f t="shared" si="138"/>
        <v>124377.83000000003</v>
      </c>
      <c r="N169" s="51">
        <f t="shared" si="138"/>
        <v>111959.78000000003</v>
      </c>
      <c r="O169" s="278">
        <f t="shared" si="138"/>
        <v>99534.24000000002</v>
      </c>
      <c r="P169" s="51">
        <f t="shared" si="138"/>
        <v>87095.970000000016</v>
      </c>
      <c r="Q169" s="51">
        <f t="shared" si="138"/>
        <v>74635.970000000016</v>
      </c>
      <c r="R169" s="51">
        <f t="shared" si="138"/>
        <v>62175.970000000016</v>
      </c>
      <c r="S169" s="51">
        <f t="shared" si="138"/>
        <v>49715.970000000016</v>
      </c>
      <c r="T169" s="51">
        <f t="shared" si="138"/>
        <v>37255.970000000016</v>
      </c>
      <c r="U169" s="51">
        <f t="shared" si="138"/>
        <v>24795.970000000016</v>
      </c>
      <c r="V169" s="51">
        <f t="shared" si="138"/>
        <v>12335.970000000016</v>
      </c>
      <c r="W169" s="51"/>
      <c r="X169" s="51"/>
      <c r="Y169" s="51"/>
      <c r="Z169" s="51"/>
      <c r="AA169" s="278"/>
      <c r="AB169" s="51"/>
      <c r="AC169" s="51"/>
      <c r="AD169" s="51"/>
      <c r="AE169" s="51"/>
      <c r="AF169" s="51"/>
      <c r="AG169" s="51"/>
      <c r="AH169" s="51"/>
      <c r="AI169" s="51"/>
      <c r="AJ169" s="51"/>
      <c r="AK169" s="51"/>
      <c r="AL169" s="51"/>
      <c r="AM169" s="51"/>
      <c r="AN169" s="8"/>
      <c r="AO169" s="9"/>
      <c r="AP169" s="9"/>
      <c r="AQ169" s="9"/>
      <c r="AR169" s="9"/>
      <c r="AS169" s="9"/>
      <c r="AT169" s="9"/>
      <c r="AU169" s="9"/>
      <c r="AV169" s="9"/>
      <c r="AW169" s="9"/>
      <c r="AX169" s="9"/>
    </row>
    <row r="170" spans="1:50" ht="15.75" customHeight="1" outlineLevel="1" x14ac:dyDescent="0.2">
      <c r="A170" s="16"/>
      <c r="B170" s="24" t="s">
        <v>94</v>
      </c>
      <c r="C170" s="125">
        <v>12510</v>
      </c>
      <c r="D170" s="51">
        <f t="shared" ref="D170:U170" si="139">-$C170</f>
        <v>-12510</v>
      </c>
      <c r="E170" s="51">
        <f t="shared" si="139"/>
        <v>-12510</v>
      </c>
      <c r="F170" s="51">
        <f t="shared" si="139"/>
        <v>-12510</v>
      </c>
      <c r="G170" s="51">
        <f t="shared" si="139"/>
        <v>-12510</v>
      </c>
      <c r="H170" s="51">
        <f t="shared" si="139"/>
        <v>-12510</v>
      </c>
      <c r="I170" s="51">
        <f t="shared" si="139"/>
        <v>-12510</v>
      </c>
      <c r="J170" s="51">
        <f t="shared" si="139"/>
        <v>-12510</v>
      </c>
      <c r="K170" s="51">
        <f t="shared" si="139"/>
        <v>-12510</v>
      </c>
      <c r="L170" s="51">
        <f t="shared" si="139"/>
        <v>-12510</v>
      </c>
      <c r="M170" s="51">
        <f t="shared" si="139"/>
        <v>-12510</v>
      </c>
      <c r="N170" s="51">
        <f t="shared" si="139"/>
        <v>-12510</v>
      </c>
      <c r="O170" s="278">
        <f t="shared" si="139"/>
        <v>-12510</v>
      </c>
      <c r="P170" s="51">
        <f t="shared" si="139"/>
        <v>-12510</v>
      </c>
      <c r="Q170" s="51">
        <f t="shared" si="139"/>
        <v>-12510</v>
      </c>
      <c r="R170" s="51">
        <f t="shared" si="139"/>
        <v>-12510</v>
      </c>
      <c r="S170" s="51">
        <f t="shared" si="139"/>
        <v>-12510</v>
      </c>
      <c r="T170" s="51">
        <f t="shared" si="139"/>
        <v>-12510</v>
      </c>
      <c r="U170" s="51">
        <f t="shared" si="139"/>
        <v>-12510</v>
      </c>
      <c r="V170" s="51">
        <f>-10834</f>
        <v>-10834</v>
      </c>
      <c r="W170" s="51"/>
      <c r="X170" s="51"/>
      <c r="Y170" s="51"/>
      <c r="Z170" s="51"/>
      <c r="AA170" s="278"/>
      <c r="AB170" s="51"/>
      <c r="AC170" s="51"/>
      <c r="AD170" s="51"/>
      <c r="AE170" s="51"/>
      <c r="AF170" s="51"/>
      <c r="AG170" s="51"/>
      <c r="AH170" s="51"/>
      <c r="AI170" s="51"/>
      <c r="AJ170" s="51"/>
      <c r="AK170" s="51"/>
      <c r="AL170" s="51"/>
      <c r="AM170" s="51"/>
      <c r="AN170" s="8"/>
      <c r="AO170" s="9"/>
      <c r="AP170" s="9"/>
      <c r="AQ170" s="9"/>
      <c r="AR170" s="9"/>
      <c r="AS170" s="9"/>
      <c r="AT170" s="9"/>
      <c r="AU170" s="9"/>
      <c r="AV170" s="9"/>
      <c r="AW170" s="9"/>
      <c r="AX170" s="9"/>
    </row>
    <row r="171" spans="1:50" ht="15.75" customHeight="1" outlineLevel="1" x14ac:dyDescent="0.2">
      <c r="A171" s="16"/>
      <c r="B171" s="24" t="s">
        <v>95</v>
      </c>
      <c r="C171" s="157"/>
      <c r="D171" s="336">
        <v>-189.41</v>
      </c>
      <c r="E171" s="337">
        <v>-179.06</v>
      </c>
      <c r="F171" s="337">
        <v>-152.28</v>
      </c>
      <c r="G171" s="337">
        <v>-158.09</v>
      </c>
      <c r="H171" s="337">
        <v>-152.37</v>
      </c>
      <c r="I171" s="337">
        <v>-128.26</v>
      </c>
      <c r="J171" s="337">
        <v>-122.51</v>
      </c>
      <c r="K171" s="337">
        <v>-119.82</v>
      </c>
      <c r="L171" s="331">
        <v>-102.14</v>
      </c>
      <c r="M171" s="331">
        <v>-91.95</v>
      </c>
      <c r="N171" s="331">
        <v>-84.46</v>
      </c>
      <c r="O171" s="335">
        <v>-71.73</v>
      </c>
      <c r="P171" s="331">
        <v>-50</v>
      </c>
      <c r="Q171" s="331">
        <v>-50</v>
      </c>
      <c r="R171" s="331">
        <v>-50</v>
      </c>
      <c r="S171" s="331">
        <v>-50</v>
      </c>
      <c r="T171" s="331">
        <v>-50</v>
      </c>
      <c r="U171" s="331">
        <v>-50</v>
      </c>
      <c r="V171" s="332">
        <v>-50</v>
      </c>
      <c r="W171" s="6"/>
      <c r="X171" s="6"/>
      <c r="Y171" s="6"/>
      <c r="Z171" s="6"/>
      <c r="AA171" s="321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5"/>
      <c r="AO171" s="9"/>
      <c r="AP171" s="9"/>
      <c r="AQ171" s="9"/>
      <c r="AR171" s="9"/>
      <c r="AS171" s="9"/>
      <c r="AT171" s="9"/>
      <c r="AU171" s="9"/>
      <c r="AV171" s="9"/>
      <c r="AW171" s="9"/>
      <c r="AX171" s="9"/>
    </row>
    <row r="172" spans="1:50" ht="15.75" customHeight="1" outlineLevel="1" x14ac:dyDescent="0.2">
      <c r="A172" s="16"/>
      <c r="B172" s="24" t="s">
        <v>96</v>
      </c>
      <c r="C172" s="156"/>
      <c r="D172" s="51">
        <f t="shared" ref="D172:V172" si="140">D170-D171</f>
        <v>-12320.59</v>
      </c>
      <c r="E172" s="51">
        <f t="shared" si="140"/>
        <v>-12330.94</v>
      </c>
      <c r="F172" s="51">
        <f t="shared" si="140"/>
        <v>-12357.72</v>
      </c>
      <c r="G172" s="51">
        <f t="shared" si="140"/>
        <v>-12351.91</v>
      </c>
      <c r="H172" s="51">
        <f t="shared" si="140"/>
        <v>-12357.63</v>
      </c>
      <c r="I172" s="51">
        <f t="shared" si="140"/>
        <v>-12381.74</v>
      </c>
      <c r="J172" s="51">
        <f t="shared" si="140"/>
        <v>-12387.49</v>
      </c>
      <c r="K172" s="51">
        <f t="shared" si="140"/>
        <v>-12390.18</v>
      </c>
      <c r="L172" s="51">
        <f t="shared" si="140"/>
        <v>-12407.86</v>
      </c>
      <c r="M172" s="51">
        <f t="shared" si="140"/>
        <v>-12418.05</v>
      </c>
      <c r="N172" s="51">
        <f t="shared" si="140"/>
        <v>-12425.54</v>
      </c>
      <c r="O172" s="278">
        <f t="shared" si="140"/>
        <v>-12438.27</v>
      </c>
      <c r="P172" s="51">
        <f t="shared" si="140"/>
        <v>-12460</v>
      </c>
      <c r="Q172" s="51">
        <f t="shared" si="140"/>
        <v>-12460</v>
      </c>
      <c r="R172" s="51">
        <f t="shared" si="140"/>
        <v>-12460</v>
      </c>
      <c r="S172" s="51">
        <f t="shared" si="140"/>
        <v>-12460</v>
      </c>
      <c r="T172" s="51">
        <f t="shared" si="140"/>
        <v>-12460</v>
      </c>
      <c r="U172" s="51">
        <f t="shared" si="140"/>
        <v>-12460</v>
      </c>
      <c r="V172" s="51">
        <f t="shared" si="140"/>
        <v>-10784</v>
      </c>
      <c r="W172" s="51"/>
      <c r="X172" s="51"/>
      <c r="Y172" s="51"/>
      <c r="Z172" s="51"/>
      <c r="AA172" s="278"/>
      <c r="AB172" s="51"/>
      <c r="AC172" s="51"/>
      <c r="AD172" s="51"/>
      <c r="AE172" s="51"/>
      <c r="AF172" s="51"/>
      <c r="AG172" s="51"/>
      <c r="AH172" s="51"/>
      <c r="AI172" s="51"/>
      <c r="AJ172" s="51"/>
      <c r="AK172" s="51"/>
      <c r="AL172" s="51"/>
      <c r="AM172" s="51"/>
      <c r="AN172" s="8"/>
      <c r="AO172" s="9"/>
      <c r="AP172" s="9"/>
      <c r="AQ172" s="9"/>
      <c r="AR172" s="9"/>
      <c r="AS172" s="9"/>
      <c r="AT172" s="9"/>
      <c r="AU172" s="9"/>
      <c r="AV172" s="9"/>
      <c r="AW172" s="9"/>
      <c r="AX172" s="9"/>
    </row>
    <row r="173" spans="1:50" ht="15.75" customHeight="1" outlineLevel="1" x14ac:dyDescent="0.2">
      <c r="A173" s="16"/>
      <c r="B173" s="24" t="s">
        <v>97</v>
      </c>
      <c r="C173" s="156"/>
      <c r="D173" s="51">
        <f t="shared" ref="D173:V173" si="141">D169+D172</f>
        <v>223343.30000000002</v>
      </c>
      <c r="E173" s="51">
        <f t="shared" si="141"/>
        <v>211012.36000000002</v>
      </c>
      <c r="F173" s="51">
        <f t="shared" si="141"/>
        <v>198654.64</v>
      </c>
      <c r="G173" s="51">
        <f t="shared" si="141"/>
        <v>186302.73</v>
      </c>
      <c r="H173" s="51">
        <f t="shared" si="141"/>
        <v>173945.1</v>
      </c>
      <c r="I173" s="51">
        <f t="shared" si="141"/>
        <v>161563.36000000002</v>
      </c>
      <c r="J173" s="51">
        <f t="shared" si="141"/>
        <v>149175.87000000002</v>
      </c>
      <c r="K173" s="51">
        <f t="shared" si="141"/>
        <v>136785.69000000003</v>
      </c>
      <c r="L173" s="51">
        <f t="shared" si="141"/>
        <v>124377.83000000003</v>
      </c>
      <c r="M173" s="51">
        <f t="shared" si="141"/>
        <v>111959.78000000003</v>
      </c>
      <c r="N173" s="51">
        <f t="shared" si="141"/>
        <v>99534.24000000002</v>
      </c>
      <c r="O173" s="278">
        <f t="shared" si="141"/>
        <v>87095.970000000016</v>
      </c>
      <c r="P173" s="51">
        <f t="shared" si="141"/>
        <v>74635.970000000016</v>
      </c>
      <c r="Q173" s="51">
        <f t="shared" si="141"/>
        <v>62175.970000000016</v>
      </c>
      <c r="R173" s="51">
        <f t="shared" si="141"/>
        <v>49715.970000000016</v>
      </c>
      <c r="S173" s="51">
        <f t="shared" si="141"/>
        <v>37255.970000000016</v>
      </c>
      <c r="T173" s="51">
        <f t="shared" si="141"/>
        <v>24795.970000000016</v>
      </c>
      <c r="U173" s="51">
        <f t="shared" si="141"/>
        <v>12335.970000000016</v>
      </c>
      <c r="V173" s="338">
        <f t="shared" si="141"/>
        <v>1551.9700000000157</v>
      </c>
      <c r="W173" s="51"/>
      <c r="X173" s="51"/>
      <c r="Y173" s="51"/>
      <c r="Z173" s="51"/>
      <c r="AA173" s="278"/>
      <c r="AB173" s="51"/>
      <c r="AC173" s="51"/>
      <c r="AD173" s="51"/>
      <c r="AE173" s="51"/>
      <c r="AF173" s="51"/>
      <c r="AG173" s="51"/>
      <c r="AH173" s="51"/>
      <c r="AI173" s="51"/>
      <c r="AJ173" s="51"/>
      <c r="AK173" s="51"/>
      <c r="AL173" s="51"/>
      <c r="AM173" s="51"/>
      <c r="AN173" s="8"/>
      <c r="AO173" s="9"/>
      <c r="AP173" s="9"/>
      <c r="AQ173" s="9"/>
      <c r="AR173" s="9"/>
      <c r="AS173" s="9"/>
      <c r="AT173" s="9"/>
      <c r="AU173" s="9"/>
      <c r="AV173" s="9"/>
      <c r="AW173" s="9"/>
      <c r="AX173" s="9"/>
    </row>
    <row r="174" spans="1:50" ht="15.75" customHeight="1" x14ac:dyDescent="0.2">
      <c r="A174" s="16"/>
      <c r="B174" s="152" t="s">
        <v>278</v>
      </c>
      <c r="C174" s="156"/>
      <c r="D174" s="154">
        <f t="shared" ref="D174:AM174" si="142">D176</f>
        <v>-11141</v>
      </c>
      <c r="E174" s="154">
        <f t="shared" si="142"/>
        <v>-11141</v>
      </c>
      <c r="F174" s="154">
        <f t="shared" si="142"/>
        <v>-11141</v>
      </c>
      <c r="G174" s="154">
        <f t="shared" si="142"/>
        <v>-11141</v>
      </c>
      <c r="H174" s="154">
        <f t="shared" si="142"/>
        <v>-11141</v>
      </c>
      <c r="I174" s="154">
        <f t="shared" si="142"/>
        <v>-11141</v>
      </c>
      <c r="J174" s="154">
        <f t="shared" si="142"/>
        <v>-11141</v>
      </c>
      <c r="K174" s="154">
        <f t="shared" si="142"/>
        <v>-11141</v>
      </c>
      <c r="L174" s="154">
        <f t="shared" si="142"/>
        <v>-11141</v>
      </c>
      <c r="M174" s="154">
        <f t="shared" si="142"/>
        <v>-11141</v>
      </c>
      <c r="N174" s="154">
        <f t="shared" si="142"/>
        <v>-11141</v>
      </c>
      <c r="O174" s="328">
        <f t="shared" si="142"/>
        <v>-11141</v>
      </c>
      <c r="P174" s="154">
        <f t="shared" si="142"/>
        <v>-11141</v>
      </c>
      <c r="Q174" s="154">
        <f t="shared" si="142"/>
        <v>-11141</v>
      </c>
      <c r="R174" s="154">
        <f t="shared" si="142"/>
        <v>-11141</v>
      </c>
      <c r="S174" s="154">
        <f t="shared" si="142"/>
        <v>-11141</v>
      </c>
      <c r="T174" s="154">
        <f t="shared" si="142"/>
        <v>-11141</v>
      </c>
      <c r="U174" s="154">
        <f t="shared" si="142"/>
        <v>-11141</v>
      </c>
      <c r="V174" s="154">
        <f t="shared" si="142"/>
        <v>-11141</v>
      </c>
      <c r="W174" s="154">
        <f t="shared" si="142"/>
        <v>-11141</v>
      </c>
      <c r="X174" s="154">
        <f t="shared" si="142"/>
        <v>-11141</v>
      </c>
      <c r="Y174" s="154">
        <f t="shared" si="142"/>
        <v>-11141</v>
      </c>
      <c r="Z174" s="154">
        <f t="shared" si="142"/>
        <v>-11141</v>
      </c>
      <c r="AA174" s="328">
        <f t="shared" si="142"/>
        <v>-11141</v>
      </c>
      <c r="AB174" s="154">
        <f t="shared" si="142"/>
        <v>-11141</v>
      </c>
      <c r="AC174" s="154">
        <f t="shared" si="142"/>
        <v>-11141</v>
      </c>
      <c r="AD174" s="154">
        <f t="shared" si="142"/>
        <v>-11141</v>
      </c>
      <c r="AE174" s="154">
        <f t="shared" si="142"/>
        <v>-11141</v>
      </c>
      <c r="AF174" s="154">
        <f t="shared" si="142"/>
        <v>-11141</v>
      </c>
      <c r="AG174" s="154">
        <f t="shared" si="142"/>
        <v>-11141</v>
      </c>
      <c r="AH174" s="154">
        <f t="shared" si="142"/>
        <v>-11141</v>
      </c>
      <c r="AI174" s="154">
        <f t="shared" si="142"/>
        <v>-11141</v>
      </c>
      <c r="AJ174" s="154">
        <f t="shared" si="142"/>
        <v>-11141</v>
      </c>
      <c r="AK174" s="154">
        <f t="shared" si="142"/>
        <v>-11141</v>
      </c>
      <c r="AL174" s="154">
        <f t="shared" si="142"/>
        <v>-11141</v>
      </c>
      <c r="AM174" s="154">
        <f t="shared" si="142"/>
        <v>-11141</v>
      </c>
      <c r="AN174" s="8"/>
      <c r="AO174" s="9"/>
      <c r="AP174" s="9"/>
      <c r="AQ174" s="9"/>
      <c r="AR174" s="9"/>
      <c r="AS174" s="9"/>
      <c r="AT174" s="9"/>
      <c r="AU174" s="9"/>
      <c r="AV174" s="9"/>
      <c r="AW174" s="9"/>
      <c r="AX174" s="9"/>
    </row>
    <row r="175" spans="1:50" ht="15.75" customHeight="1" outlineLevel="1" x14ac:dyDescent="0.2">
      <c r="A175" s="16"/>
      <c r="B175" s="24" t="s">
        <v>93</v>
      </c>
      <c r="C175" s="125">
        <v>366722</v>
      </c>
      <c r="D175" s="158">
        <v>366722</v>
      </c>
      <c r="E175" s="6">
        <f t="shared" ref="E175:AM175" si="143">D179</f>
        <v>362488</v>
      </c>
      <c r="F175" s="6">
        <f t="shared" si="143"/>
        <v>358294.68666666665</v>
      </c>
      <c r="G175" s="6">
        <f t="shared" si="143"/>
        <v>354021.00149444444</v>
      </c>
      <c r="H175" s="6">
        <f t="shared" si="143"/>
        <v>349665.40402308793</v>
      </c>
      <c r="I175" s="6">
        <f t="shared" si="143"/>
        <v>345226.32426686381</v>
      </c>
      <c r="J175" s="6">
        <f t="shared" si="143"/>
        <v>340702.16214864538</v>
      </c>
      <c r="K175" s="6">
        <f t="shared" si="143"/>
        <v>336091.28692316107</v>
      </c>
      <c r="L175" s="6">
        <f t="shared" si="143"/>
        <v>331392.03658918833</v>
      </c>
      <c r="M175" s="6">
        <f t="shared" si="143"/>
        <v>326602.71729048109</v>
      </c>
      <c r="N175" s="6">
        <f t="shared" si="143"/>
        <v>321721.60270521534</v>
      </c>
      <c r="O175" s="321">
        <f t="shared" si="143"/>
        <v>316746.93342373194</v>
      </c>
      <c r="P175" s="6">
        <f t="shared" si="143"/>
        <v>311676.91631435347</v>
      </c>
      <c r="Q175" s="6">
        <f t="shared" si="143"/>
        <v>306509.72387704527</v>
      </c>
      <c r="R175" s="6">
        <f t="shared" si="143"/>
        <v>301243.49358468864</v>
      </c>
      <c r="S175" s="6">
        <f t="shared" si="143"/>
        <v>295876.32721172849</v>
      </c>
      <c r="T175" s="6">
        <f t="shared" si="143"/>
        <v>290406.29014995327</v>
      </c>
      <c r="U175" s="6">
        <f t="shared" si="143"/>
        <v>284831.41071116069</v>
      </c>
      <c r="V175" s="6">
        <f t="shared" si="143"/>
        <v>279149.67941645795</v>
      </c>
      <c r="W175" s="6">
        <f t="shared" si="143"/>
        <v>273359.04827194003</v>
      </c>
      <c r="X175" s="6">
        <f t="shared" si="143"/>
        <v>267457.43003048556</v>
      </c>
      <c r="Y175" s="6">
        <f t="shared" si="143"/>
        <v>261442.69743940319</v>
      </c>
      <c r="Z175" s="6">
        <f t="shared" si="143"/>
        <v>255312.68247365841</v>
      </c>
      <c r="AA175" s="321">
        <f t="shared" si="143"/>
        <v>249065.17555440354</v>
      </c>
      <c r="AB175" s="6">
        <f t="shared" si="143"/>
        <v>242697.92475252959</v>
      </c>
      <c r="AC175" s="6">
        <f t="shared" si="143"/>
        <v>236208.63497695306</v>
      </c>
      <c r="AD175" s="6">
        <f t="shared" si="143"/>
        <v>229594.96714734467</v>
      </c>
      <c r="AE175" s="6">
        <f t="shared" si="143"/>
        <v>222854.5373510021</v>
      </c>
      <c r="AF175" s="6">
        <f t="shared" si="143"/>
        <v>215984.91598356297</v>
      </c>
      <c r="AG175" s="6">
        <f t="shared" si="143"/>
        <v>208983.62687324794</v>
      </c>
      <c r="AH175" s="6">
        <f t="shared" si="143"/>
        <v>201848.14638831854</v>
      </c>
      <c r="AI175" s="6">
        <f t="shared" si="143"/>
        <v>194575.90252742797</v>
      </c>
      <c r="AJ175" s="6">
        <f t="shared" si="143"/>
        <v>187164.273992537</v>
      </c>
      <c r="AK175" s="6">
        <f t="shared" si="143"/>
        <v>179610.58924406063</v>
      </c>
      <c r="AL175" s="6">
        <f t="shared" si="143"/>
        <v>171912.12553790511</v>
      </c>
      <c r="AM175" s="6">
        <f t="shared" si="143"/>
        <v>164066.1079440483</v>
      </c>
      <c r="AN175" s="8"/>
      <c r="AO175" s="9"/>
      <c r="AP175" s="9"/>
      <c r="AQ175" s="9"/>
      <c r="AR175" s="9"/>
      <c r="AS175" s="9"/>
      <c r="AT175" s="9"/>
      <c r="AU175" s="9"/>
      <c r="AV175" s="9"/>
      <c r="AW175" s="9"/>
      <c r="AX175" s="9"/>
    </row>
    <row r="176" spans="1:50" ht="15.75" customHeight="1" outlineLevel="1" x14ac:dyDescent="0.2">
      <c r="A176" s="16"/>
      <c r="B176" s="24" t="s">
        <v>94</v>
      </c>
      <c r="C176" s="125">
        <v>11141</v>
      </c>
      <c r="D176" s="51">
        <f t="shared" ref="D176:AM176" si="144">-$C176</f>
        <v>-11141</v>
      </c>
      <c r="E176" s="51">
        <f t="shared" si="144"/>
        <v>-11141</v>
      </c>
      <c r="F176" s="51">
        <f t="shared" si="144"/>
        <v>-11141</v>
      </c>
      <c r="G176" s="51">
        <f t="shared" si="144"/>
        <v>-11141</v>
      </c>
      <c r="H176" s="51">
        <f t="shared" si="144"/>
        <v>-11141</v>
      </c>
      <c r="I176" s="51">
        <f t="shared" si="144"/>
        <v>-11141</v>
      </c>
      <c r="J176" s="51">
        <f t="shared" si="144"/>
        <v>-11141</v>
      </c>
      <c r="K176" s="51">
        <f t="shared" si="144"/>
        <v>-11141</v>
      </c>
      <c r="L176" s="51">
        <f t="shared" si="144"/>
        <v>-11141</v>
      </c>
      <c r="M176" s="51">
        <f t="shared" si="144"/>
        <v>-11141</v>
      </c>
      <c r="N176" s="51">
        <f t="shared" si="144"/>
        <v>-11141</v>
      </c>
      <c r="O176" s="278">
        <f t="shared" si="144"/>
        <v>-11141</v>
      </c>
      <c r="P176" s="51">
        <f t="shared" si="144"/>
        <v>-11141</v>
      </c>
      <c r="Q176" s="51">
        <f t="shared" si="144"/>
        <v>-11141</v>
      </c>
      <c r="R176" s="51">
        <f t="shared" si="144"/>
        <v>-11141</v>
      </c>
      <c r="S176" s="51">
        <f t="shared" si="144"/>
        <v>-11141</v>
      </c>
      <c r="T176" s="51">
        <f t="shared" si="144"/>
        <v>-11141</v>
      </c>
      <c r="U176" s="51">
        <f t="shared" si="144"/>
        <v>-11141</v>
      </c>
      <c r="V176" s="51">
        <f t="shared" si="144"/>
        <v>-11141</v>
      </c>
      <c r="W176" s="51">
        <f t="shared" si="144"/>
        <v>-11141</v>
      </c>
      <c r="X176" s="51">
        <f t="shared" si="144"/>
        <v>-11141</v>
      </c>
      <c r="Y176" s="51">
        <f t="shared" si="144"/>
        <v>-11141</v>
      </c>
      <c r="Z176" s="51">
        <f t="shared" si="144"/>
        <v>-11141</v>
      </c>
      <c r="AA176" s="278">
        <f t="shared" si="144"/>
        <v>-11141</v>
      </c>
      <c r="AB176" s="51">
        <f t="shared" si="144"/>
        <v>-11141</v>
      </c>
      <c r="AC176" s="51">
        <f t="shared" si="144"/>
        <v>-11141</v>
      </c>
      <c r="AD176" s="51">
        <f t="shared" si="144"/>
        <v>-11141</v>
      </c>
      <c r="AE176" s="51">
        <f t="shared" si="144"/>
        <v>-11141</v>
      </c>
      <c r="AF176" s="51">
        <f t="shared" si="144"/>
        <v>-11141</v>
      </c>
      <c r="AG176" s="51">
        <f t="shared" si="144"/>
        <v>-11141</v>
      </c>
      <c r="AH176" s="51">
        <f t="shared" si="144"/>
        <v>-11141</v>
      </c>
      <c r="AI176" s="51">
        <f t="shared" si="144"/>
        <v>-11141</v>
      </c>
      <c r="AJ176" s="51">
        <f t="shared" si="144"/>
        <v>-11141</v>
      </c>
      <c r="AK176" s="51">
        <f t="shared" si="144"/>
        <v>-11141</v>
      </c>
      <c r="AL176" s="51">
        <f t="shared" si="144"/>
        <v>-11141</v>
      </c>
      <c r="AM176" s="51">
        <f t="shared" si="144"/>
        <v>-11141</v>
      </c>
      <c r="AN176" s="8"/>
      <c r="AO176" s="9"/>
      <c r="AP176" s="9"/>
      <c r="AQ176" s="9"/>
      <c r="AR176" s="9"/>
      <c r="AS176" s="9"/>
      <c r="AT176" s="9"/>
      <c r="AU176" s="9"/>
      <c r="AV176" s="9"/>
      <c r="AW176" s="9"/>
      <c r="AX176" s="9"/>
    </row>
    <row r="177" spans="1:50" ht="15.75" customHeight="1" outlineLevel="1" x14ac:dyDescent="0.2">
      <c r="A177" s="16"/>
      <c r="B177" s="24" t="s">
        <v>95</v>
      </c>
      <c r="C177" s="159">
        <v>0.23</v>
      </c>
      <c r="D177" s="336">
        <v>-6907</v>
      </c>
      <c r="E177" s="331">
        <f t="shared" ref="E177:AM177" si="145">-E175*$C177/12</f>
        <v>-6947.6866666666674</v>
      </c>
      <c r="F177" s="331">
        <f t="shared" si="145"/>
        <v>-6867.3148277777773</v>
      </c>
      <c r="G177" s="331">
        <f t="shared" si="145"/>
        <v>-6785.4025286435181</v>
      </c>
      <c r="H177" s="331">
        <f t="shared" si="145"/>
        <v>-6701.9202437758531</v>
      </c>
      <c r="I177" s="331">
        <f t="shared" si="145"/>
        <v>-6616.8378817815565</v>
      </c>
      <c r="J177" s="331">
        <f t="shared" si="145"/>
        <v>-6530.1247745157043</v>
      </c>
      <c r="K177" s="331">
        <f t="shared" si="145"/>
        <v>-6441.7496660272545</v>
      </c>
      <c r="L177" s="331">
        <f t="shared" si="145"/>
        <v>-6351.6807012927757</v>
      </c>
      <c r="M177" s="331">
        <f t="shared" si="145"/>
        <v>-6259.8854147342208</v>
      </c>
      <c r="N177" s="331">
        <f t="shared" si="145"/>
        <v>-6166.3307185166277</v>
      </c>
      <c r="O177" s="335">
        <f t="shared" si="145"/>
        <v>-6070.9828906215289</v>
      </c>
      <c r="P177" s="331">
        <f t="shared" si="145"/>
        <v>-5973.8075626917753</v>
      </c>
      <c r="Q177" s="331">
        <f t="shared" si="145"/>
        <v>-5874.7697076433678</v>
      </c>
      <c r="R177" s="331">
        <f t="shared" si="145"/>
        <v>-5773.8336270398659</v>
      </c>
      <c r="S177" s="331">
        <f t="shared" si="145"/>
        <v>-5670.9629382247958</v>
      </c>
      <c r="T177" s="331">
        <f t="shared" si="145"/>
        <v>-5566.1205612074382</v>
      </c>
      <c r="U177" s="331">
        <f t="shared" si="145"/>
        <v>-5459.2687052972469</v>
      </c>
      <c r="V177" s="331">
        <f t="shared" si="145"/>
        <v>-5350.368855482111</v>
      </c>
      <c r="W177" s="331">
        <f t="shared" si="145"/>
        <v>-5239.3817585455172</v>
      </c>
      <c r="X177" s="331">
        <f t="shared" si="145"/>
        <v>-5126.2674089176398</v>
      </c>
      <c r="Y177" s="331">
        <f t="shared" si="145"/>
        <v>-5010.9850342552281</v>
      </c>
      <c r="Z177" s="331">
        <f t="shared" si="145"/>
        <v>-4893.4930807451192</v>
      </c>
      <c r="AA177" s="335">
        <f t="shared" si="145"/>
        <v>-4773.7491981260682</v>
      </c>
      <c r="AB177" s="331">
        <f t="shared" si="145"/>
        <v>-4651.7102244234839</v>
      </c>
      <c r="AC177" s="331">
        <f t="shared" si="145"/>
        <v>-4527.3321703916008</v>
      </c>
      <c r="AD177" s="331">
        <f t="shared" si="145"/>
        <v>-4400.5702036574394</v>
      </c>
      <c r="AE177" s="331">
        <f t="shared" si="145"/>
        <v>-4271.3786325608735</v>
      </c>
      <c r="AF177" s="331">
        <f t="shared" si="145"/>
        <v>-4139.7108896849568</v>
      </c>
      <c r="AG177" s="331">
        <f t="shared" si="145"/>
        <v>-4005.5195150705858</v>
      </c>
      <c r="AH177" s="331">
        <f t="shared" si="145"/>
        <v>-3868.7561391094387</v>
      </c>
      <c r="AI177" s="331">
        <f t="shared" si="145"/>
        <v>-3729.3714651090363</v>
      </c>
      <c r="AJ177" s="331">
        <f t="shared" si="145"/>
        <v>-3587.3152515236256</v>
      </c>
      <c r="AK177" s="331">
        <f t="shared" si="145"/>
        <v>-3442.5362938444955</v>
      </c>
      <c r="AL177" s="331">
        <f t="shared" si="145"/>
        <v>-3294.9824061431814</v>
      </c>
      <c r="AM177" s="331">
        <f t="shared" si="145"/>
        <v>-3144.6004022609263</v>
      </c>
      <c r="AN177" s="5"/>
      <c r="AO177" s="9"/>
      <c r="AP177" s="9"/>
      <c r="AQ177" s="9"/>
      <c r="AR177" s="9"/>
      <c r="AS177" s="9"/>
      <c r="AT177" s="9"/>
      <c r="AU177" s="9"/>
      <c r="AV177" s="9"/>
      <c r="AW177" s="9"/>
      <c r="AX177" s="9"/>
    </row>
    <row r="178" spans="1:50" ht="15.75" customHeight="1" outlineLevel="1" x14ac:dyDescent="0.2">
      <c r="A178" s="16"/>
      <c r="B178" s="24" t="s">
        <v>96</v>
      </c>
      <c r="C178" s="156"/>
      <c r="D178" s="51">
        <f t="shared" ref="D178:AM178" si="146">D176-D177</f>
        <v>-4234</v>
      </c>
      <c r="E178" s="51">
        <f t="shared" si="146"/>
        <v>-4193.3133333333326</v>
      </c>
      <c r="F178" s="51">
        <f t="shared" si="146"/>
        <v>-4273.6851722222227</v>
      </c>
      <c r="G178" s="51">
        <f t="shared" si="146"/>
        <v>-4355.5974713564819</v>
      </c>
      <c r="H178" s="51">
        <f t="shared" si="146"/>
        <v>-4439.0797562241469</v>
      </c>
      <c r="I178" s="51">
        <f t="shared" si="146"/>
        <v>-4524.1621182184435</v>
      </c>
      <c r="J178" s="51">
        <f t="shared" si="146"/>
        <v>-4610.8752254842957</v>
      </c>
      <c r="K178" s="51">
        <f t="shared" si="146"/>
        <v>-4699.2503339727455</v>
      </c>
      <c r="L178" s="51">
        <f t="shared" si="146"/>
        <v>-4789.3192987072243</v>
      </c>
      <c r="M178" s="51">
        <f t="shared" si="146"/>
        <v>-4881.1145852657792</v>
      </c>
      <c r="N178" s="51">
        <f t="shared" si="146"/>
        <v>-4974.6692814833723</v>
      </c>
      <c r="O178" s="278">
        <f t="shared" si="146"/>
        <v>-5070.0171093784711</v>
      </c>
      <c r="P178" s="51">
        <f t="shared" si="146"/>
        <v>-5167.1924373082247</v>
      </c>
      <c r="Q178" s="51">
        <f t="shared" si="146"/>
        <v>-5266.2302923566322</v>
      </c>
      <c r="R178" s="51">
        <f t="shared" si="146"/>
        <v>-5367.1663729601341</v>
      </c>
      <c r="S178" s="51">
        <f t="shared" si="146"/>
        <v>-5470.0370617752042</v>
      </c>
      <c r="T178" s="51">
        <f t="shared" si="146"/>
        <v>-5574.8794387925618</v>
      </c>
      <c r="U178" s="51">
        <f t="shared" si="146"/>
        <v>-5681.7312947027531</v>
      </c>
      <c r="V178" s="51">
        <f t="shared" si="146"/>
        <v>-5790.631144517889</v>
      </c>
      <c r="W178" s="51">
        <f t="shared" si="146"/>
        <v>-5901.6182414544828</v>
      </c>
      <c r="X178" s="51">
        <f t="shared" si="146"/>
        <v>-6014.7325910823602</v>
      </c>
      <c r="Y178" s="51">
        <f t="shared" si="146"/>
        <v>-6130.0149657447719</v>
      </c>
      <c r="Z178" s="51">
        <f t="shared" si="146"/>
        <v>-6247.5069192548808</v>
      </c>
      <c r="AA178" s="278">
        <f t="shared" si="146"/>
        <v>-6367.2508018739318</v>
      </c>
      <c r="AB178" s="51">
        <f t="shared" si="146"/>
        <v>-6489.2897755765161</v>
      </c>
      <c r="AC178" s="51">
        <f t="shared" si="146"/>
        <v>-6613.6678296083992</v>
      </c>
      <c r="AD178" s="51">
        <f t="shared" si="146"/>
        <v>-6740.4297963425606</v>
      </c>
      <c r="AE178" s="51">
        <f t="shared" si="146"/>
        <v>-6869.6213674391265</v>
      </c>
      <c r="AF178" s="51">
        <f t="shared" si="146"/>
        <v>-7001.2891103150432</v>
      </c>
      <c r="AG178" s="51">
        <f t="shared" si="146"/>
        <v>-7135.4804849294142</v>
      </c>
      <c r="AH178" s="51">
        <f t="shared" si="146"/>
        <v>-7272.2438608905613</v>
      </c>
      <c r="AI178" s="51">
        <f t="shared" si="146"/>
        <v>-7411.6285348909641</v>
      </c>
      <c r="AJ178" s="51">
        <f t="shared" si="146"/>
        <v>-7553.6847484763748</v>
      </c>
      <c r="AK178" s="51">
        <f t="shared" si="146"/>
        <v>-7698.463706155504</v>
      </c>
      <c r="AL178" s="51">
        <f t="shared" si="146"/>
        <v>-7846.0175938568191</v>
      </c>
      <c r="AM178" s="51">
        <f t="shared" si="146"/>
        <v>-7996.3995977390732</v>
      </c>
      <c r="AN178" s="8"/>
      <c r="AO178" s="9"/>
      <c r="AP178" s="9"/>
      <c r="AQ178" s="9"/>
      <c r="AR178" s="9"/>
      <c r="AS178" s="9"/>
      <c r="AT178" s="9"/>
      <c r="AU178" s="9"/>
      <c r="AV178" s="9"/>
      <c r="AW178" s="9"/>
      <c r="AX178" s="9"/>
    </row>
    <row r="179" spans="1:50" ht="15.75" customHeight="1" outlineLevel="1" x14ac:dyDescent="0.2">
      <c r="A179" s="16"/>
      <c r="B179" s="24" t="s">
        <v>97</v>
      </c>
      <c r="C179" s="156"/>
      <c r="D179" s="51">
        <f t="shared" ref="D179:AM179" si="147">D175+D178</f>
        <v>362488</v>
      </c>
      <c r="E179" s="51">
        <f t="shared" si="147"/>
        <v>358294.68666666665</v>
      </c>
      <c r="F179" s="51">
        <f t="shared" si="147"/>
        <v>354021.00149444444</v>
      </c>
      <c r="G179" s="51">
        <f t="shared" si="147"/>
        <v>349665.40402308793</v>
      </c>
      <c r="H179" s="51">
        <f t="shared" si="147"/>
        <v>345226.32426686381</v>
      </c>
      <c r="I179" s="51">
        <f t="shared" si="147"/>
        <v>340702.16214864538</v>
      </c>
      <c r="J179" s="51">
        <f t="shared" si="147"/>
        <v>336091.28692316107</v>
      </c>
      <c r="K179" s="51">
        <f t="shared" si="147"/>
        <v>331392.03658918833</v>
      </c>
      <c r="L179" s="51">
        <f t="shared" si="147"/>
        <v>326602.71729048109</v>
      </c>
      <c r="M179" s="51">
        <f t="shared" si="147"/>
        <v>321721.60270521534</v>
      </c>
      <c r="N179" s="51">
        <f t="shared" si="147"/>
        <v>316746.93342373194</v>
      </c>
      <c r="O179" s="278">
        <f t="shared" si="147"/>
        <v>311676.91631435347</v>
      </c>
      <c r="P179" s="51">
        <f t="shared" si="147"/>
        <v>306509.72387704527</v>
      </c>
      <c r="Q179" s="51">
        <f t="shared" si="147"/>
        <v>301243.49358468864</v>
      </c>
      <c r="R179" s="51">
        <f t="shared" si="147"/>
        <v>295876.32721172849</v>
      </c>
      <c r="S179" s="51">
        <f t="shared" si="147"/>
        <v>290406.29014995327</v>
      </c>
      <c r="T179" s="51">
        <f t="shared" si="147"/>
        <v>284831.41071116069</v>
      </c>
      <c r="U179" s="51">
        <f t="shared" si="147"/>
        <v>279149.67941645795</v>
      </c>
      <c r="V179" s="51">
        <f t="shared" si="147"/>
        <v>273359.04827194003</v>
      </c>
      <c r="W179" s="51">
        <f t="shared" si="147"/>
        <v>267457.43003048556</v>
      </c>
      <c r="X179" s="51">
        <f t="shared" si="147"/>
        <v>261442.69743940319</v>
      </c>
      <c r="Y179" s="51">
        <f t="shared" si="147"/>
        <v>255312.68247365841</v>
      </c>
      <c r="Z179" s="51">
        <f t="shared" si="147"/>
        <v>249065.17555440354</v>
      </c>
      <c r="AA179" s="278">
        <f t="shared" si="147"/>
        <v>242697.92475252959</v>
      </c>
      <c r="AB179" s="51">
        <f t="shared" si="147"/>
        <v>236208.63497695306</v>
      </c>
      <c r="AC179" s="51">
        <f t="shared" si="147"/>
        <v>229594.96714734467</v>
      </c>
      <c r="AD179" s="51">
        <f t="shared" si="147"/>
        <v>222854.5373510021</v>
      </c>
      <c r="AE179" s="51">
        <f t="shared" si="147"/>
        <v>215984.91598356297</v>
      </c>
      <c r="AF179" s="51">
        <f t="shared" si="147"/>
        <v>208983.62687324794</v>
      </c>
      <c r="AG179" s="51">
        <f t="shared" si="147"/>
        <v>201848.14638831854</v>
      </c>
      <c r="AH179" s="51">
        <f t="shared" si="147"/>
        <v>194575.90252742797</v>
      </c>
      <c r="AI179" s="51">
        <f t="shared" si="147"/>
        <v>187164.273992537</v>
      </c>
      <c r="AJ179" s="51">
        <f t="shared" si="147"/>
        <v>179610.58924406063</v>
      </c>
      <c r="AK179" s="51">
        <f t="shared" si="147"/>
        <v>171912.12553790511</v>
      </c>
      <c r="AL179" s="51">
        <f t="shared" si="147"/>
        <v>164066.1079440483</v>
      </c>
      <c r="AM179" s="51">
        <f t="shared" si="147"/>
        <v>156069.70834630923</v>
      </c>
      <c r="AN179" s="8"/>
      <c r="AO179" s="9"/>
      <c r="AP179" s="9"/>
      <c r="AQ179" s="9"/>
      <c r="AR179" s="9"/>
      <c r="AS179" s="9"/>
      <c r="AT179" s="9"/>
      <c r="AU179" s="9"/>
      <c r="AV179" s="9"/>
      <c r="AW179" s="9"/>
      <c r="AX179" s="9"/>
    </row>
    <row r="180" spans="1:50" ht="15.75" customHeight="1" x14ac:dyDescent="0.2">
      <c r="A180" s="120"/>
      <c r="B180" s="152" t="s">
        <v>279</v>
      </c>
      <c r="C180" s="160"/>
      <c r="D180" s="185">
        <f t="shared" ref="D180:O180" si="148">D183+D184</f>
        <v>-15779</v>
      </c>
      <c r="E180" s="185">
        <f t="shared" si="148"/>
        <v>-15527</v>
      </c>
      <c r="F180" s="185">
        <f t="shared" si="148"/>
        <v>-15527</v>
      </c>
      <c r="G180" s="185">
        <f t="shared" si="148"/>
        <v>-15527</v>
      </c>
      <c r="H180" s="185">
        <f t="shared" si="148"/>
        <v>-15527</v>
      </c>
      <c r="I180" s="185">
        <f t="shared" si="148"/>
        <v>-15527</v>
      </c>
      <c r="J180" s="185">
        <f t="shared" si="148"/>
        <v>-15527</v>
      </c>
      <c r="K180" s="185">
        <f t="shared" si="148"/>
        <v>-15527</v>
      </c>
      <c r="L180" s="185">
        <f t="shared" si="148"/>
        <v>-15527</v>
      </c>
      <c r="M180" s="185">
        <f t="shared" si="148"/>
        <v>-15527</v>
      </c>
      <c r="N180" s="185">
        <f t="shared" si="148"/>
        <v>-15527</v>
      </c>
      <c r="O180" s="339">
        <f t="shared" si="148"/>
        <v>-15527</v>
      </c>
      <c r="P180" s="185">
        <f t="shared" ref="P180:AM180" si="149">P182</f>
        <v>-15527</v>
      </c>
      <c r="Q180" s="185">
        <f t="shared" si="149"/>
        <v>-15527</v>
      </c>
      <c r="R180" s="185">
        <f t="shared" si="149"/>
        <v>-15527</v>
      </c>
      <c r="S180" s="185">
        <f t="shared" si="149"/>
        <v>-15527</v>
      </c>
      <c r="T180" s="185">
        <f t="shared" si="149"/>
        <v>-15527</v>
      </c>
      <c r="U180" s="185">
        <f t="shared" si="149"/>
        <v>-15527</v>
      </c>
      <c r="V180" s="185">
        <f t="shared" si="149"/>
        <v>-15527</v>
      </c>
      <c r="W180" s="185">
        <f t="shared" si="149"/>
        <v>-15527</v>
      </c>
      <c r="X180" s="185">
        <f t="shared" si="149"/>
        <v>-15527</v>
      </c>
      <c r="Y180" s="185">
        <f t="shared" si="149"/>
        <v>-15527</v>
      </c>
      <c r="Z180" s="185">
        <f t="shared" si="149"/>
        <v>-15527</v>
      </c>
      <c r="AA180" s="339">
        <f t="shared" si="149"/>
        <v>-15527</v>
      </c>
      <c r="AB180" s="185">
        <f t="shared" si="149"/>
        <v>-15527</v>
      </c>
      <c r="AC180" s="185">
        <f t="shared" si="149"/>
        <v>-15527</v>
      </c>
      <c r="AD180" s="185">
        <f t="shared" si="149"/>
        <v>-15527</v>
      </c>
      <c r="AE180" s="185">
        <f t="shared" si="149"/>
        <v>-15527</v>
      </c>
      <c r="AF180" s="185">
        <f t="shared" si="149"/>
        <v>-15527</v>
      </c>
      <c r="AG180" s="185">
        <f t="shared" si="149"/>
        <v>-15527</v>
      </c>
      <c r="AH180" s="185">
        <f t="shared" si="149"/>
        <v>-15527</v>
      </c>
      <c r="AI180" s="185">
        <f t="shared" si="149"/>
        <v>-15527</v>
      </c>
      <c r="AJ180" s="185">
        <f t="shared" si="149"/>
        <v>-15527</v>
      </c>
      <c r="AK180" s="185">
        <f t="shared" si="149"/>
        <v>-15527</v>
      </c>
      <c r="AL180" s="185">
        <f t="shared" si="149"/>
        <v>-15527</v>
      </c>
      <c r="AM180" s="185">
        <f t="shared" si="149"/>
        <v>-15527</v>
      </c>
      <c r="AN180" s="8"/>
      <c r="AO180" s="9"/>
      <c r="AP180" s="9"/>
      <c r="AQ180" s="9"/>
      <c r="AR180" s="9"/>
      <c r="AS180" s="9"/>
      <c r="AT180" s="9"/>
      <c r="AU180" s="9"/>
      <c r="AV180" s="9"/>
      <c r="AW180" s="9"/>
      <c r="AX180" s="9"/>
    </row>
    <row r="181" spans="1:50" ht="15.75" customHeight="1" outlineLevel="1" x14ac:dyDescent="0.2">
      <c r="A181" s="120"/>
      <c r="B181" s="24" t="s">
        <v>93</v>
      </c>
      <c r="C181" s="125">
        <v>396018</v>
      </c>
      <c r="D181" s="6">
        <v>396018</v>
      </c>
      <c r="E181" s="6">
        <f t="shared" ref="E181:AM181" si="150">D185</f>
        <v>388473</v>
      </c>
      <c r="F181" s="6">
        <f t="shared" si="150"/>
        <v>380168.68</v>
      </c>
      <c r="G181" s="6">
        <f t="shared" si="150"/>
        <v>372001.68</v>
      </c>
      <c r="H181" s="6">
        <f t="shared" si="150"/>
        <v>364384.83</v>
      </c>
      <c r="I181" s="6">
        <f t="shared" si="150"/>
        <v>356606.74</v>
      </c>
      <c r="J181" s="6">
        <f t="shared" si="150"/>
        <v>348663.99</v>
      </c>
      <c r="K181" s="6">
        <f t="shared" si="150"/>
        <v>340553.1</v>
      </c>
      <c r="L181" s="6">
        <f t="shared" si="150"/>
        <v>332270.50999999995</v>
      </c>
      <c r="M181" s="6">
        <f t="shared" si="150"/>
        <v>323812.58999999997</v>
      </c>
      <c r="N181" s="6">
        <f t="shared" si="150"/>
        <v>315175.62</v>
      </c>
      <c r="O181" s="321">
        <f t="shared" si="150"/>
        <v>306355.82</v>
      </c>
      <c r="P181" s="6">
        <f t="shared" si="150"/>
        <v>297349.31</v>
      </c>
      <c r="Q181" s="6">
        <f t="shared" si="150"/>
        <v>288116.20372833335</v>
      </c>
      <c r="R181" s="6">
        <f t="shared" si="150"/>
        <v>278687.66337391641</v>
      </c>
      <c r="S181" s="6">
        <f t="shared" si="150"/>
        <v>269059.55224866432</v>
      </c>
      <c r="T181" s="6">
        <f t="shared" si="150"/>
        <v>259227.64610459437</v>
      </c>
      <c r="U181" s="6">
        <f t="shared" si="150"/>
        <v>249187.63128047495</v>
      </c>
      <c r="V181" s="6">
        <f t="shared" si="150"/>
        <v>238935.102809245</v>
      </c>
      <c r="W181" s="6">
        <f t="shared" si="150"/>
        <v>228465.56248537402</v>
      </c>
      <c r="X181" s="6">
        <f t="shared" si="150"/>
        <v>217774.41689131444</v>
      </c>
      <c r="Y181" s="6">
        <f t="shared" si="150"/>
        <v>206856.97538218059</v>
      </c>
      <c r="Z181" s="6">
        <f t="shared" si="150"/>
        <v>195708.44802777009</v>
      </c>
      <c r="AA181" s="321">
        <f t="shared" si="150"/>
        <v>184323.94351102455</v>
      </c>
      <c r="AB181" s="6">
        <f t="shared" si="150"/>
        <v>172698.4669820079</v>
      </c>
      <c r="AC181" s="6">
        <f t="shared" si="150"/>
        <v>160826.9178664604</v>
      </c>
      <c r="AD181" s="6">
        <f t="shared" si="150"/>
        <v>148704.08762796715</v>
      </c>
      <c r="AE181" s="6">
        <f t="shared" si="150"/>
        <v>136324.65748275912</v>
      </c>
      <c r="AF181" s="6">
        <f t="shared" si="150"/>
        <v>123683.1960661442</v>
      </c>
      <c r="AG181" s="6">
        <f t="shared" si="150"/>
        <v>110774.15704954424</v>
      </c>
      <c r="AH181" s="6">
        <f t="shared" si="150"/>
        <v>97591.876707092932</v>
      </c>
      <c r="AI181" s="6">
        <f t="shared" si="150"/>
        <v>84130.571430726399</v>
      </c>
      <c r="AJ181" s="6">
        <f t="shared" si="150"/>
        <v>70384.335192676779</v>
      </c>
      <c r="AK181" s="6">
        <f t="shared" si="150"/>
        <v>56347.136954255104</v>
      </c>
      <c r="AL181" s="6">
        <f t="shared" si="150"/>
        <v>42012.818019786835</v>
      </c>
      <c r="AM181" s="6">
        <f t="shared" si="150"/>
        <v>27375.089334538992</v>
      </c>
      <c r="AN181" s="8"/>
      <c r="AO181" s="9"/>
      <c r="AP181" s="9"/>
      <c r="AQ181" s="9"/>
      <c r="AR181" s="9"/>
      <c r="AS181" s="9"/>
      <c r="AT181" s="9"/>
      <c r="AU181" s="9"/>
      <c r="AV181" s="9"/>
      <c r="AW181" s="9"/>
      <c r="AX181" s="9"/>
    </row>
    <row r="182" spans="1:50" ht="15.75" customHeight="1" outlineLevel="1" x14ac:dyDescent="0.2">
      <c r="A182" s="120"/>
      <c r="B182" s="24" t="s">
        <v>94</v>
      </c>
      <c r="C182" s="249"/>
      <c r="D182" s="6">
        <v>-15779.01</v>
      </c>
      <c r="E182" s="5">
        <f t="shared" ref="E182:O182" si="151">-15527</f>
        <v>-15527</v>
      </c>
      <c r="F182" s="5">
        <f t="shared" si="151"/>
        <v>-15527</v>
      </c>
      <c r="G182" s="5">
        <f t="shared" si="151"/>
        <v>-15527</v>
      </c>
      <c r="H182" s="5">
        <f t="shared" si="151"/>
        <v>-15527</v>
      </c>
      <c r="I182" s="5">
        <f t="shared" si="151"/>
        <v>-15527</v>
      </c>
      <c r="J182" s="5">
        <f t="shared" si="151"/>
        <v>-15527</v>
      </c>
      <c r="K182" s="5">
        <f t="shared" si="151"/>
        <v>-15527</v>
      </c>
      <c r="L182" s="5">
        <f t="shared" si="151"/>
        <v>-15527</v>
      </c>
      <c r="M182" s="5">
        <f t="shared" si="151"/>
        <v>-15527</v>
      </c>
      <c r="N182" s="5">
        <f t="shared" si="151"/>
        <v>-15527</v>
      </c>
      <c r="O182" s="264">
        <f t="shared" si="151"/>
        <v>-15527</v>
      </c>
      <c r="P182" s="6">
        <v>-15527</v>
      </c>
      <c r="Q182" s="6">
        <v>-15527</v>
      </c>
      <c r="R182" s="6">
        <v>-15527</v>
      </c>
      <c r="S182" s="6">
        <v>-15527</v>
      </c>
      <c r="T182" s="6">
        <v>-15527</v>
      </c>
      <c r="U182" s="6">
        <v>-15527</v>
      </c>
      <c r="V182" s="6">
        <v>-15527</v>
      </c>
      <c r="W182" s="6">
        <v>-15527</v>
      </c>
      <c r="X182" s="6">
        <v>-15527</v>
      </c>
      <c r="Y182" s="6">
        <v>-15527</v>
      </c>
      <c r="Z182" s="6">
        <v>-15527</v>
      </c>
      <c r="AA182" s="321">
        <v>-15527</v>
      </c>
      <c r="AB182" s="6">
        <v>-15527</v>
      </c>
      <c r="AC182" s="6">
        <v>-15527</v>
      </c>
      <c r="AD182" s="6">
        <v>-15527</v>
      </c>
      <c r="AE182" s="6">
        <v>-15527</v>
      </c>
      <c r="AF182" s="6">
        <v>-15527</v>
      </c>
      <c r="AG182" s="6">
        <v>-15527</v>
      </c>
      <c r="AH182" s="6">
        <v>-15527</v>
      </c>
      <c r="AI182" s="6">
        <v>-15527</v>
      </c>
      <c r="AJ182" s="6">
        <v>-15527</v>
      </c>
      <c r="AK182" s="6">
        <v>-15527</v>
      </c>
      <c r="AL182" s="6">
        <v>-15527</v>
      </c>
      <c r="AM182" s="6">
        <v>-15527</v>
      </c>
      <c r="AN182" s="8"/>
      <c r="AO182" s="9"/>
      <c r="AP182" s="9"/>
      <c r="AQ182" s="9"/>
      <c r="AR182" s="9"/>
      <c r="AS182" s="9"/>
      <c r="AT182" s="9"/>
      <c r="AU182" s="9"/>
      <c r="AV182" s="9"/>
      <c r="AW182" s="9"/>
      <c r="AX182" s="9"/>
    </row>
    <row r="183" spans="1:50" ht="15.75" customHeight="1" outlineLevel="1" x14ac:dyDescent="0.2">
      <c r="A183" s="120"/>
      <c r="B183" s="24" t="s">
        <v>95</v>
      </c>
      <c r="C183" s="159">
        <v>0.254</v>
      </c>
      <c r="D183" s="330">
        <v>-8234</v>
      </c>
      <c r="E183" s="331">
        <v>-7222.68</v>
      </c>
      <c r="F183" s="331">
        <v>-7360</v>
      </c>
      <c r="G183" s="331">
        <v>-7910.15</v>
      </c>
      <c r="H183" s="331">
        <v>-7748.91</v>
      </c>
      <c r="I183" s="340">
        <f>-7584.25</f>
        <v>-7584.25</v>
      </c>
      <c r="J183" s="340">
        <f>-7416.11</f>
        <v>-7416.11</v>
      </c>
      <c r="K183" s="331">
        <v>-7244.41</v>
      </c>
      <c r="L183" s="331">
        <v>-7069.08</v>
      </c>
      <c r="M183" s="331">
        <v>-6890.03</v>
      </c>
      <c r="N183" s="340">
        <f>-6707.2</f>
        <v>-6707.2</v>
      </c>
      <c r="O183" s="341">
        <f>-6520.49</f>
        <v>-6520.49</v>
      </c>
      <c r="P183" s="340">
        <f t="shared" ref="P183:AM183" si="152">-P181*$C183/12</f>
        <v>-6293.8937283333335</v>
      </c>
      <c r="Q183" s="340">
        <f t="shared" si="152"/>
        <v>-6098.4596455830551</v>
      </c>
      <c r="R183" s="340">
        <f t="shared" si="152"/>
        <v>-5898.8888747478968</v>
      </c>
      <c r="S183" s="340">
        <f t="shared" si="152"/>
        <v>-5695.0938559300621</v>
      </c>
      <c r="T183" s="340">
        <f t="shared" si="152"/>
        <v>-5486.9851758805808</v>
      </c>
      <c r="U183" s="340">
        <f t="shared" si="152"/>
        <v>-5274.4715287700528</v>
      </c>
      <c r="V183" s="340">
        <f t="shared" si="152"/>
        <v>-5057.4596761290195</v>
      </c>
      <c r="W183" s="340">
        <f t="shared" si="152"/>
        <v>-4835.8544059404167</v>
      </c>
      <c r="X183" s="340">
        <f t="shared" si="152"/>
        <v>-4609.5584908661558</v>
      </c>
      <c r="Y183" s="340">
        <f t="shared" si="152"/>
        <v>-4378.4726455894897</v>
      </c>
      <c r="Z183" s="340">
        <f t="shared" si="152"/>
        <v>-4142.4954832544672</v>
      </c>
      <c r="AA183" s="341">
        <f t="shared" si="152"/>
        <v>-3901.523470983353</v>
      </c>
      <c r="AB183" s="340">
        <f t="shared" si="152"/>
        <v>-3655.4508844525008</v>
      </c>
      <c r="AC183" s="340">
        <f t="shared" si="152"/>
        <v>-3404.1697615067455</v>
      </c>
      <c r="AD183" s="340">
        <f t="shared" si="152"/>
        <v>-3147.5698547919715</v>
      </c>
      <c r="AE183" s="340">
        <f t="shared" si="152"/>
        <v>-2885.5385833850683</v>
      </c>
      <c r="AF183" s="340">
        <f t="shared" si="152"/>
        <v>-2617.9609834000521</v>
      </c>
      <c r="AG183" s="340">
        <f t="shared" si="152"/>
        <v>-2344.7196575486864</v>
      </c>
      <c r="AH183" s="340">
        <f t="shared" si="152"/>
        <v>-2065.6947236334672</v>
      </c>
      <c r="AI183" s="340">
        <f t="shared" si="152"/>
        <v>-1780.7637619503755</v>
      </c>
      <c r="AJ183" s="340">
        <f t="shared" si="152"/>
        <v>-1489.8017615783253</v>
      </c>
      <c r="AK183" s="340">
        <f t="shared" si="152"/>
        <v>-1192.6810655317331</v>
      </c>
      <c r="AL183" s="340">
        <f t="shared" si="152"/>
        <v>-889.27131475215458</v>
      </c>
      <c r="AM183" s="340">
        <f t="shared" si="152"/>
        <v>-579.4393909144087</v>
      </c>
      <c r="AN183" s="5"/>
      <c r="AO183" s="9"/>
      <c r="AP183" s="9"/>
      <c r="AQ183" s="9"/>
      <c r="AR183" s="9"/>
      <c r="AS183" s="9"/>
      <c r="AT183" s="9"/>
      <c r="AU183" s="9"/>
      <c r="AV183" s="9"/>
      <c r="AW183" s="9"/>
      <c r="AX183" s="9"/>
    </row>
    <row r="184" spans="1:50" ht="15.75" customHeight="1" outlineLevel="1" x14ac:dyDescent="0.2">
      <c r="A184" s="120"/>
      <c r="B184" s="24" t="s">
        <v>96</v>
      </c>
      <c r="C184" s="160"/>
      <c r="D184" s="6">
        <v>-7545</v>
      </c>
      <c r="E184" s="5">
        <f t="shared" ref="E184:AM184" si="153">E182-E183</f>
        <v>-8304.32</v>
      </c>
      <c r="F184" s="5">
        <f t="shared" si="153"/>
        <v>-8167</v>
      </c>
      <c r="G184" s="5">
        <f t="shared" si="153"/>
        <v>-7616.85</v>
      </c>
      <c r="H184" s="5">
        <f t="shared" si="153"/>
        <v>-7778.09</v>
      </c>
      <c r="I184" s="5">
        <f t="shared" si="153"/>
        <v>-7942.75</v>
      </c>
      <c r="J184" s="5">
        <f t="shared" si="153"/>
        <v>-8110.89</v>
      </c>
      <c r="K184" s="5">
        <f t="shared" si="153"/>
        <v>-8282.59</v>
      </c>
      <c r="L184" s="5">
        <f t="shared" si="153"/>
        <v>-8457.92</v>
      </c>
      <c r="M184" s="5">
        <f t="shared" si="153"/>
        <v>-8636.9700000000012</v>
      </c>
      <c r="N184" s="5">
        <f t="shared" si="153"/>
        <v>-8819.7999999999993</v>
      </c>
      <c r="O184" s="264">
        <f t="shared" si="153"/>
        <v>-9006.51</v>
      </c>
      <c r="P184" s="5">
        <f t="shared" si="153"/>
        <v>-9233.1062716666675</v>
      </c>
      <c r="Q184" s="5">
        <f t="shared" si="153"/>
        <v>-9428.5403544169458</v>
      </c>
      <c r="R184" s="5">
        <f t="shared" si="153"/>
        <v>-9628.1111252521041</v>
      </c>
      <c r="S184" s="5">
        <f t="shared" si="153"/>
        <v>-9831.906144069937</v>
      </c>
      <c r="T184" s="5">
        <f t="shared" si="153"/>
        <v>-10040.014824119418</v>
      </c>
      <c r="U184" s="5">
        <f t="shared" si="153"/>
        <v>-10252.528471229947</v>
      </c>
      <c r="V184" s="5">
        <f t="shared" si="153"/>
        <v>-10469.540323870981</v>
      </c>
      <c r="W184" s="5">
        <f t="shared" si="153"/>
        <v>-10691.145594059584</v>
      </c>
      <c r="X184" s="5">
        <f t="shared" si="153"/>
        <v>-10917.441509133845</v>
      </c>
      <c r="Y184" s="5">
        <f t="shared" si="153"/>
        <v>-11148.527354410511</v>
      </c>
      <c r="Z184" s="5">
        <f t="shared" si="153"/>
        <v>-11384.504516745532</v>
      </c>
      <c r="AA184" s="264">
        <f t="shared" si="153"/>
        <v>-11625.476529016647</v>
      </c>
      <c r="AB184" s="5">
        <f t="shared" si="153"/>
        <v>-11871.549115547499</v>
      </c>
      <c r="AC184" s="5">
        <f t="shared" si="153"/>
        <v>-12122.830238493254</v>
      </c>
      <c r="AD184" s="5">
        <f t="shared" si="153"/>
        <v>-12379.430145208029</v>
      </c>
      <c r="AE184" s="5">
        <f t="shared" si="153"/>
        <v>-12641.461416614931</v>
      </c>
      <c r="AF184" s="5">
        <f t="shared" si="153"/>
        <v>-12909.039016599949</v>
      </c>
      <c r="AG184" s="5">
        <f t="shared" si="153"/>
        <v>-13182.280342451313</v>
      </c>
      <c r="AH184" s="5">
        <f t="shared" si="153"/>
        <v>-13461.305276366533</v>
      </c>
      <c r="AI184" s="5">
        <f t="shared" si="153"/>
        <v>-13746.236238049625</v>
      </c>
      <c r="AJ184" s="5">
        <f t="shared" si="153"/>
        <v>-14037.198238421675</v>
      </c>
      <c r="AK184" s="5">
        <f t="shared" si="153"/>
        <v>-14334.318934468267</v>
      </c>
      <c r="AL184" s="5">
        <f t="shared" si="153"/>
        <v>-14637.728685247845</v>
      </c>
      <c r="AM184" s="5">
        <f t="shared" si="153"/>
        <v>-14947.560609085591</v>
      </c>
      <c r="AN184" s="8"/>
      <c r="AO184" s="9"/>
      <c r="AP184" s="9"/>
      <c r="AQ184" s="9"/>
      <c r="AR184" s="9"/>
      <c r="AS184" s="9"/>
      <c r="AT184" s="9"/>
      <c r="AU184" s="9"/>
      <c r="AV184" s="9"/>
      <c r="AW184" s="9"/>
      <c r="AX184" s="9"/>
    </row>
    <row r="185" spans="1:50" ht="15.75" customHeight="1" outlineLevel="1" x14ac:dyDescent="0.2">
      <c r="A185" s="120"/>
      <c r="B185" s="24" t="s">
        <v>97</v>
      </c>
      <c r="C185" s="160"/>
      <c r="D185" s="5">
        <f t="shared" ref="D185:AM185" si="154">D181+D184</f>
        <v>388473</v>
      </c>
      <c r="E185" s="5">
        <f t="shared" si="154"/>
        <v>380168.68</v>
      </c>
      <c r="F185" s="5">
        <f t="shared" si="154"/>
        <v>372001.68</v>
      </c>
      <c r="G185" s="5">
        <f t="shared" si="154"/>
        <v>364384.83</v>
      </c>
      <c r="H185" s="5">
        <f t="shared" si="154"/>
        <v>356606.74</v>
      </c>
      <c r="I185" s="5">
        <f t="shared" si="154"/>
        <v>348663.99</v>
      </c>
      <c r="J185" s="5">
        <f t="shared" si="154"/>
        <v>340553.1</v>
      </c>
      <c r="K185" s="5">
        <f t="shared" si="154"/>
        <v>332270.50999999995</v>
      </c>
      <c r="L185" s="5">
        <f t="shared" si="154"/>
        <v>323812.58999999997</v>
      </c>
      <c r="M185" s="5">
        <f t="shared" si="154"/>
        <v>315175.62</v>
      </c>
      <c r="N185" s="5">
        <f t="shared" si="154"/>
        <v>306355.82</v>
      </c>
      <c r="O185" s="264">
        <f t="shared" si="154"/>
        <v>297349.31</v>
      </c>
      <c r="P185" s="5">
        <f t="shared" si="154"/>
        <v>288116.20372833335</v>
      </c>
      <c r="Q185" s="5">
        <f t="shared" si="154"/>
        <v>278687.66337391641</v>
      </c>
      <c r="R185" s="5">
        <f t="shared" si="154"/>
        <v>269059.55224866432</v>
      </c>
      <c r="S185" s="5">
        <f t="shared" si="154"/>
        <v>259227.64610459437</v>
      </c>
      <c r="T185" s="5">
        <f t="shared" si="154"/>
        <v>249187.63128047495</v>
      </c>
      <c r="U185" s="5">
        <f t="shared" si="154"/>
        <v>238935.102809245</v>
      </c>
      <c r="V185" s="5">
        <f t="shared" si="154"/>
        <v>228465.56248537402</v>
      </c>
      <c r="W185" s="5">
        <f t="shared" si="154"/>
        <v>217774.41689131444</v>
      </c>
      <c r="X185" s="5">
        <f t="shared" si="154"/>
        <v>206856.97538218059</v>
      </c>
      <c r="Y185" s="5">
        <f t="shared" si="154"/>
        <v>195708.44802777009</v>
      </c>
      <c r="Z185" s="5">
        <f t="shared" si="154"/>
        <v>184323.94351102455</v>
      </c>
      <c r="AA185" s="264">
        <f t="shared" si="154"/>
        <v>172698.4669820079</v>
      </c>
      <c r="AB185" s="5">
        <f t="shared" si="154"/>
        <v>160826.9178664604</v>
      </c>
      <c r="AC185" s="5">
        <f t="shared" si="154"/>
        <v>148704.08762796715</v>
      </c>
      <c r="AD185" s="5">
        <f t="shared" si="154"/>
        <v>136324.65748275912</v>
      </c>
      <c r="AE185" s="5">
        <f t="shared" si="154"/>
        <v>123683.1960661442</v>
      </c>
      <c r="AF185" s="5">
        <f t="shared" si="154"/>
        <v>110774.15704954424</v>
      </c>
      <c r="AG185" s="5">
        <f t="shared" si="154"/>
        <v>97591.876707092932</v>
      </c>
      <c r="AH185" s="5">
        <f t="shared" si="154"/>
        <v>84130.571430726399</v>
      </c>
      <c r="AI185" s="5">
        <f t="shared" si="154"/>
        <v>70384.335192676779</v>
      </c>
      <c r="AJ185" s="5">
        <f t="shared" si="154"/>
        <v>56347.136954255104</v>
      </c>
      <c r="AK185" s="5">
        <f t="shared" si="154"/>
        <v>42012.818019786835</v>
      </c>
      <c r="AL185" s="5">
        <f t="shared" si="154"/>
        <v>27375.089334538992</v>
      </c>
      <c r="AM185" s="5">
        <f t="shared" si="154"/>
        <v>12427.528725453401</v>
      </c>
      <c r="AN185" s="8"/>
      <c r="AO185" s="9"/>
      <c r="AP185" s="9"/>
      <c r="AQ185" s="9"/>
      <c r="AR185" s="9"/>
      <c r="AS185" s="9"/>
      <c r="AT185" s="9"/>
      <c r="AU185" s="9"/>
      <c r="AV185" s="9"/>
      <c r="AW185" s="9"/>
      <c r="AX185" s="9"/>
    </row>
    <row r="186" spans="1:50" ht="15.75" customHeight="1" x14ac:dyDescent="0.2">
      <c r="A186" s="120"/>
      <c r="B186" s="152" t="s">
        <v>280</v>
      </c>
      <c r="C186" s="160"/>
      <c r="D186" s="185">
        <f t="shared" ref="D186:AM186" si="155">D188</f>
        <v>-10900</v>
      </c>
      <c r="E186" s="185">
        <f t="shared" si="155"/>
        <v>-10900</v>
      </c>
      <c r="F186" s="185">
        <f t="shared" si="155"/>
        <v>-10900</v>
      </c>
      <c r="G186" s="185">
        <f t="shared" si="155"/>
        <v>-10900</v>
      </c>
      <c r="H186" s="185">
        <f t="shared" si="155"/>
        <v>-10900</v>
      </c>
      <c r="I186" s="185">
        <f t="shared" si="155"/>
        <v>-10900</v>
      </c>
      <c r="J186" s="185">
        <f t="shared" si="155"/>
        <v>-10900</v>
      </c>
      <c r="K186" s="185">
        <f t="shared" si="155"/>
        <v>-10900</v>
      </c>
      <c r="L186" s="185">
        <f t="shared" si="155"/>
        <v>-10900</v>
      </c>
      <c r="M186" s="185">
        <f t="shared" si="155"/>
        <v>-10900</v>
      </c>
      <c r="N186" s="185">
        <f t="shared" si="155"/>
        <v>-10900</v>
      </c>
      <c r="O186" s="339">
        <f t="shared" si="155"/>
        <v>-10900</v>
      </c>
      <c r="P186" s="185">
        <f t="shared" si="155"/>
        <v>-10900</v>
      </c>
      <c r="Q186" s="185">
        <f t="shared" si="155"/>
        <v>-10900</v>
      </c>
      <c r="R186" s="185">
        <f t="shared" si="155"/>
        <v>-10900</v>
      </c>
      <c r="S186" s="185">
        <f t="shared" si="155"/>
        <v>-10900</v>
      </c>
      <c r="T186" s="185">
        <f t="shared" si="155"/>
        <v>-10900</v>
      </c>
      <c r="U186" s="185">
        <f t="shared" si="155"/>
        <v>-10900</v>
      </c>
      <c r="V186" s="185">
        <f t="shared" si="155"/>
        <v>-10900</v>
      </c>
      <c r="W186" s="185">
        <f t="shared" si="155"/>
        <v>-10900</v>
      </c>
      <c r="X186" s="185">
        <f t="shared" si="155"/>
        <v>-10900</v>
      </c>
      <c r="Y186" s="185">
        <f t="shared" si="155"/>
        <v>-10900</v>
      </c>
      <c r="Z186" s="185">
        <f t="shared" si="155"/>
        <v>-10900</v>
      </c>
      <c r="AA186" s="339">
        <f t="shared" si="155"/>
        <v>-10900</v>
      </c>
      <c r="AB186" s="185">
        <f t="shared" si="155"/>
        <v>-10900</v>
      </c>
      <c r="AC186" s="185">
        <f t="shared" si="155"/>
        <v>-10900</v>
      </c>
      <c r="AD186" s="185">
        <f t="shared" si="155"/>
        <v>-10900</v>
      </c>
      <c r="AE186" s="185">
        <f t="shared" si="155"/>
        <v>-10900</v>
      </c>
      <c r="AF186" s="185">
        <f t="shared" si="155"/>
        <v>-10900</v>
      </c>
      <c r="AG186" s="185">
        <f t="shared" si="155"/>
        <v>-10900</v>
      </c>
      <c r="AH186" s="185">
        <f t="shared" si="155"/>
        <v>-10900</v>
      </c>
      <c r="AI186" s="185">
        <f t="shared" si="155"/>
        <v>-10900</v>
      </c>
      <c r="AJ186" s="185">
        <f t="shared" si="155"/>
        <v>-10900</v>
      </c>
      <c r="AK186" s="185">
        <f t="shared" si="155"/>
        <v>-10900</v>
      </c>
      <c r="AL186" s="185">
        <f t="shared" si="155"/>
        <v>-10900</v>
      </c>
      <c r="AM186" s="185">
        <f t="shared" si="155"/>
        <v>-8544</v>
      </c>
      <c r="AN186" s="8"/>
      <c r="AO186" s="9"/>
      <c r="AP186" s="9"/>
      <c r="AQ186" s="9"/>
      <c r="AR186" s="9"/>
      <c r="AS186" s="9"/>
      <c r="AT186" s="9"/>
      <c r="AU186" s="9"/>
      <c r="AV186" s="9"/>
      <c r="AW186" s="9"/>
      <c r="AX186" s="9"/>
    </row>
    <row r="187" spans="1:50" ht="15.75" customHeight="1" outlineLevel="1" x14ac:dyDescent="0.2">
      <c r="A187" s="120"/>
      <c r="B187" s="24" t="s">
        <v>93</v>
      </c>
      <c r="C187" s="125">
        <v>235772</v>
      </c>
      <c r="D187" s="6">
        <v>235772</v>
      </c>
      <c r="E187" s="5">
        <f t="shared" ref="E187:AM187" si="156">D191</f>
        <v>231694</v>
      </c>
      <c r="F187" s="5">
        <f t="shared" si="156"/>
        <v>227729.63</v>
      </c>
      <c r="G187" s="5">
        <f t="shared" si="156"/>
        <v>227129.63</v>
      </c>
      <c r="H187" s="5">
        <f t="shared" si="156"/>
        <v>222929.82</v>
      </c>
      <c r="I187" s="5">
        <f t="shared" si="156"/>
        <v>218607.07</v>
      </c>
      <c r="J187" s="5">
        <f t="shared" si="156"/>
        <v>214157.76</v>
      </c>
      <c r="K187" s="5">
        <f t="shared" si="156"/>
        <v>209578.17</v>
      </c>
      <c r="L187" s="5">
        <f t="shared" si="156"/>
        <v>204864.47</v>
      </c>
      <c r="M187" s="5">
        <f t="shared" si="156"/>
        <v>200012.72</v>
      </c>
      <c r="N187" s="5">
        <f t="shared" si="156"/>
        <v>195018.85</v>
      </c>
      <c r="O187" s="264">
        <f t="shared" si="156"/>
        <v>189878.68</v>
      </c>
      <c r="P187" s="5">
        <f t="shared" si="156"/>
        <v>184587.91</v>
      </c>
      <c r="Q187" s="5">
        <f t="shared" si="156"/>
        <v>179117.87101916666</v>
      </c>
      <c r="R187" s="5">
        <f t="shared" si="156"/>
        <v>173486.92172498049</v>
      </c>
      <c r="S187" s="5">
        <f t="shared" si="156"/>
        <v>167690.32867239034</v>
      </c>
      <c r="T187" s="5">
        <f t="shared" si="156"/>
        <v>161723.21917416982</v>
      </c>
      <c r="U187" s="5">
        <f t="shared" si="156"/>
        <v>155580.57720487664</v>
      </c>
      <c r="V187" s="5">
        <f t="shared" si="156"/>
        <v>149257.23918432009</v>
      </c>
      <c r="W187" s="5">
        <f t="shared" si="156"/>
        <v>142747.88963699219</v>
      </c>
      <c r="X187" s="5">
        <f t="shared" si="156"/>
        <v>136047.0567238137</v>
      </c>
      <c r="Y187" s="5">
        <f t="shared" si="156"/>
        <v>129149.10764243922</v>
      </c>
      <c r="Z187" s="5">
        <f t="shared" si="156"/>
        <v>122048.24389225431</v>
      </c>
      <c r="AA187" s="264">
        <f t="shared" si="156"/>
        <v>114738.49640008478</v>
      </c>
      <c r="AB187" s="5">
        <f t="shared" si="156"/>
        <v>107213.72050252061</v>
      </c>
      <c r="AC187" s="5">
        <f t="shared" si="156"/>
        <v>99467.590780636412</v>
      </c>
      <c r="AD187" s="5">
        <f t="shared" si="156"/>
        <v>91493.595742766804</v>
      </c>
      <c r="AE187" s="5">
        <f t="shared" si="156"/>
        <v>83285.032350866531</v>
      </c>
      <c r="AF187" s="5">
        <f t="shared" si="156"/>
        <v>74835.000385854524</v>
      </c>
      <c r="AG187" s="5">
        <f t="shared" si="156"/>
        <v>66136.396647205082</v>
      </c>
      <c r="AH187" s="5">
        <f t="shared" si="156"/>
        <v>57181.908981910368</v>
      </c>
      <c r="AI187" s="5">
        <f t="shared" si="156"/>
        <v>47964.010137794896</v>
      </c>
      <c r="AJ187" s="5">
        <f t="shared" si="156"/>
        <v>38474.951436015028</v>
      </c>
      <c r="AK187" s="5">
        <f t="shared" si="156"/>
        <v>28706.756257424469</v>
      </c>
      <c r="AL187" s="5">
        <f t="shared" si="156"/>
        <v>18651.213337330373</v>
      </c>
      <c r="AM187" s="5">
        <f t="shared" si="156"/>
        <v>8299.8698630035087</v>
      </c>
      <c r="AN187" s="8"/>
      <c r="AO187" s="9"/>
      <c r="AP187" s="9"/>
      <c r="AQ187" s="9"/>
      <c r="AR187" s="9"/>
      <c r="AS187" s="9"/>
      <c r="AT187" s="9"/>
      <c r="AU187" s="9"/>
      <c r="AV187" s="9"/>
      <c r="AW187" s="9"/>
      <c r="AX187" s="9"/>
    </row>
    <row r="188" spans="1:50" ht="15.75" customHeight="1" outlineLevel="1" x14ac:dyDescent="0.2">
      <c r="A188" s="120"/>
      <c r="B188" s="24" t="s">
        <v>94</v>
      </c>
      <c r="C188" s="249"/>
      <c r="D188" s="6">
        <v>-10900</v>
      </c>
      <c r="E188" s="6">
        <v>-10900</v>
      </c>
      <c r="F188" s="6">
        <v>-10900</v>
      </c>
      <c r="G188" s="6">
        <v>-10900</v>
      </c>
      <c r="H188" s="6">
        <v>-10900</v>
      </c>
      <c r="I188" s="6">
        <v>-10900</v>
      </c>
      <c r="J188" s="6">
        <v>-10900</v>
      </c>
      <c r="K188" s="6">
        <v>-10900</v>
      </c>
      <c r="L188" s="6">
        <v>-10900</v>
      </c>
      <c r="M188" s="6">
        <v>-10900</v>
      </c>
      <c r="N188" s="6">
        <v>-10900</v>
      </c>
      <c r="O188" s="321">
        <v>-10900</v>
      </c>
      <c r="P188" s="6">
        <v>-10900</v>
      </c>
      <c r="Q188" s="6">
        <v>-10900</v>
      </c>
      <c r="R188" s="6">
        <v>-10900</v>
      </c>
      <c r="S188" s="6">
        <v>-10900</v>
      </c>
      <c r="T188" s="6">
        <v>-10900</v>
      </c>
      <c r="U188" s="6">
        <v>-10900</v>
      </c>
      <c r="V188" s="6">
        <v>-10900</v>
      </c>
      <c r="W188" s="6">
        <v>-10900</v>
      </c>
      <c r="X188" s="6">
        <v>-10900</v>
      </c>
      <c r="Y188" s="6">
        <v>-10900</v>
      </c>
      <c r="Z188" s="6">
        <v>-10900</v>
      </c>
      <c r="AA188" s="321">
        <v>-10900</v>
      </c>
      <c r="AB188" s="6">
        <v>-10900</v>
      </c>
      <c r="AC188" s="6">
        <v>-10900</v>
      </c>
      <c r="AD188" s="6">
        <v>-10900</v>
      </c>
      <c r="AE188" s="6">
        <v>-10900</v>
      </c>
      <c r="AF188" s="6">
        <v>-10900</v>
      </c>
      <c r="AG188" s="6">
        <v>-10900</v>
      </c>
      <c r="AH188" s="6">
        <v>-10900</v>
      </c>
      <c r="AI188" s="6">
        <v>-10900</v>
      </c>
      <c r="AJ188" s="6">
        <v>-10900</v>
      </c>
      <c r="AK188" s="6">
        <v>-10900</v>
      </c>
      <c r="AL188" s="6">
        <v>-10900</v>
      </c>
      <c r="AM188" s="6">
        <v>-8544</v>
      </c>
      <c r="AN188" s="8"/>
      <c r="AO188" s="9"/>
      <c r="AP188" s="9"/>
      <c r="AQ188" s="9"/>
      <c r="AR188" s="9"/>
      <c r="AS188" s="9"/>
      <c r="AT188" s="9"/>
      <c r="AU188" s="9"/>
      <c r="AV188" s="9"/>
      <c r="AW188" s="9"/>
      <c r="AX188" s="9"/>
    </row>
    <row r="189" spans="1:50" ht="15.75" customHeight="1" outlineLevel="1" x14ac:dyDescent="0.2">
      <c r="A189" s="120"/>
      <c r="B189" s="24" t="s">
        <v>95</v>
      </c>
      <c r="C189" s="159">
        <v>0.35299999999999998</v>
      </c>
      <c r="D189" s="330">
        <v>-6822</v>
      </c>
      <c r="E189" s="331">
        <v>-6935.63</v>
      </c>
      <c r="F189" s="340">
        <f>-10300</f>
        <v>-10300</v>
      </c>
      <c r="G189" s="340">
        <f>-6700.19</f>
        <v>-6700.19</v>
      </c>
      <c r="H189" s="340">
        <f>-6577.25</f>
        <v>-6577.25</v>
      </c>
      <c r="I189" s="331">
        <v>-6450.69</v>
      </c>
      <c r="J189" s="331">
        <v>-6320.41</v>
      </c>
      <c r="K189" s="331">
        <v>-6186.3</v>
      </c>
      <c r="L189" s="340">
        <f>-6048.25</f>
        <v>-6048.25</v>
      </c>
      <c r="M189" s="340">
        <f>-5906.13</f>
        <v>-5906.13</v>
      </c>
      <c r="N189" s="340">
        <f>-5759.83</f>
        <v>-5759.83</v>
      </c>
      <c r="O189" s="341">
        <f>-5609.23</f>
        <v>-5609.23</v>
      </c>
      <c r="P189" s="340">
        <f t="shared" ref="P189:AM189" si="157">-P187*$C189/12</f>
        <v>-5429.9610191666661</v>
      </c>
      <c r="Q189" s="340">
        <f t="shared" si="157"/>
        <v>-5269.0507058138191</v>
      </c>
      <c r="R189" s="340">
        <f t="shared" si="157"/>
        <v>-5103.4069474098424</v>
      </c>
      <c r="S189" s="340">
        <f t="shared" si="157"/>
        <v>-4932.8905017794823</v>
      </c>
      <c r="T189" s="340">
        <f t="shared" si="157"/>
        <v>-4757.3580307068287</v>
      </c>
      <c r="U189" s="340">
        <f t="shared" si="157"/>
        <v>-4576.6619794434546</v>
      </c>
      <c r="V189" s="340">
        <f t="shared" si="157"/>
        <v>-4390.6504526720828</v>
      </c>
      <c r="W189" s="340">
        <f t="shared" si="157"/>
        <v>-4199.1670868215197</v>
      </c>
      <c r="X189" s="340">
        <f t="shared" si="157"/>
        <v>-4002.0509186255199</v>
      </c>
      <c r="Y189" s="340">
        <f t="shared" si="157"/>
        <v>-3799.136249815087</v>
      </c>
      <c r="Z189" s="340">
        <f t="shared" si="157"/>
        <v>-3590.2525078304807</v>
      </c>
      <c r="AA189" s="341">
        <f t="shared" si="157"/>
        <v>-3375.2241024358268</v>
      </c>
      <c r="AB189" s="340">
        <f t="shared" si="157"/>
        <v>-3153.870278115814</v>
      </c>
      <c r="AC189" s="340">
        <f t="shared" si="157"/>
        <v>-2926.0049621303879</v>
      </c>
      <c r="AD189" s="340">
        <f t="shared" si="157"/>
        <v>-2691.4366080997233</v>
      </c>
      <c r="AE189" s="340">
        <f t="shared" si="157"/>
        <v>-2449.9680349879904</v>
      </c>
      <c r="AF189" s="340">
        <f t="shared" si="157"/>
        <v>-2201.3962613505537</v>
      </c>
      <c r="AG189" s="340">
        <f t="shared" si="157"/>
        <v>-1945.5123347052829</v>
      </c>
      <c r="AH189" s="340">
        <f t="shared" si="157"/>
        <v>-1682.10115588453</v>
      </c>
      <c r="AI189" s="340">
        <f t="shared" si="157"/>
        <v>-1410.9412982201331</v>
      </c>
      <c r="AJ189" s="340">
        <f t="shared" si="157"/>
        <v>-1131.804821409442</v>
      </c>
      <c r="AK189" s="340">
        <f t="shared" si="157"/>
        <v>-844.45707990590302</v>
      </c>
      <c r="AL189" s="340">
        <f t="shared" si="157"/>
        <v>-548.65652567313509</v>
      </c>
      <c r="AM189" s="340">
        <f t="shared" si="157"/>
        <v>-244.15450513668654</v>
      </c>
      <c r="AN189" s="5"/>
      <c r="AO189" s="9"/>
      <c r="AP189" s="9"/>
      <c r="AQ189" s="9"/>
      <c r="AR189" s="9"/>
      <c r="AS189" s="9"/>
      <c r="AT189" s="9"/>
      <c r="AU189" s="9"/>
      <c r="AV189" s="9"/>
      <c r="AW189" s="9"/>
      <c r="AX189" s="9"/>
    </row>
    <row r="190" spans="1:50" ht="15.75" customHeight="1" outlineLevel="1" x14ac:dyDescent="0.2">
      <c r="A190" s="120"/>
      <c r="B190" s="24" t="s">
        <v>96</v>
      </c>
      <c r="C190" s="160"/>
      <c r="D190" s="6">
        <v>-4078</v>
      </c>
      <c r="E190" s="5">
        <f t="shared" ref="E190:AM190" si="158">E188-E189</f>
        <v>-3964.37</v>
      </c>
      <c r="F190" s="5">
        <f t="shared" si="158"/>
        <v>-600</v>
      </c>
      <c r="G190" s="5">
        <f t="shared" si="158"/>
        <v>-4199.8100000000004</v>
      </c>
      <c r="H190" s="5">
        <f t="shared" si="158"/>
        <v>-4322.75</v>
      </c>
      <c r="I190" s="5">
        <f t="shared" si="158"/>
        <v>-4449.3100000000004</v>
      </c>
      <c r="J190" s="5">
        <f t="shared" si="158"/>
        <v>-4579.59</v>
      </c>
      <c r="K190" s="5">
        <f t="shared" si="158"/>
        <v>-4713.7</v>
      </c>
      <c r="L190" s="5">
        <f t="shared" si="158"/>
        <v>-4851.75</v>
      </c>
      <c r="M190" s="5">
        <f t="shared" si="158"/>
        <v>-4993.87</v>
      </c>
      <c r="N190" s="5">
        <f t="shared" si="158"/>
        <v>-5140.17</v>
      </c>
      <c r="O190" s="264">
        <f t="shared" si="158"/>
        <v>-5290.77</v>
      </c>
      <c r="P190" s="5">
        <f t="shared" si="158"/>
        <v>-5470.0389808333339</v>
      </c>
      <c r="Q190" s="5">
        <f t="shared" si="158"/>
        <v>-5630.9492941861809</v>
      </c>
      <c r="R190" s="5">
        <f t="shared" si="158"/>
        <v>-5796.5930525901576</v>
      </c>
      <c r="S190" s="5">
        <f t="shared" si="158"/>
        <v>-5967.1094982205177</v>
      </c>
      <c r="T190" s="5">
        <f t="shared" si="158"/>
        <v>-6142.6419692931713</v>
      </c>
      <c r="U190" s="5">
        <f t="shared" si="158"/>
        <v>-6323.3380205565454</v>
      </c>
      <c r="V190" s="5">
        <f t="shared" si="158"/>
        <v>-6509.3495473279172</v>
      </c>
      <c r="W190" s="5">
        <f t="shared" si="158"/>
        <v>-6700.8329131784803</v>
      </c>
      <c r="X190" s="5">
        <f t="shared" si="158"/>
        <v>-6897.9490813744796</v>
      </c>
      <c r="Y190" s="5">
        <f t="shared" si="158"/>
        <v>-7100.8637501849134</v>
      </c>
      <c r="Z190" s="5">
        <f t="shared" si="158"/>
        <v>-7309.7474921695193</v>
      </c>
      <c r="AA190" s="264">
        <f t="shared" si="158"/>
        <v>-7524.7758975641736</v>
      </c>
      <c r="AB190" s="5">
        <f t="shared" si="158"/>
        <v>-7746.1297218841864</v>
      </c>
      <c r="AC190" s="5">
        <f t="shared" si="158"/>
        <v>-7973.9950378696121</v>
      </c>
      <c r="AD190" s="5">
        <f t="shared" si="158"/>
        <v>-8208.5633919002757</v>
      </c>
      <c r="AE190" s="5">
        <f t="shared" si="158"/>
        <v>-8450.0319650120091</v>
      </c>
      <c r="AF190" s="5">
        <f t="shared" si="158"/>
        <v>-8698.6037386494463</v>
      </c>
      <c r="AG190" s="5">
        <f t="shared" si="158"/>
        <v>-8954.4876652947169</v>
      </c>
      <c r="AH190" s="5">
        <f t="shared" si="158"/>
        <v>-9217.8988441154706</v>
      </c>
      <c r="AI190" s="5">
        <f t="shared" si="158"/>
        <v>-9489.0587017798662</v>
      </c>
      <c r="AJ190" s="5">
        <f t="shared" si="158"/>
        <v>-9768.1951785905585</v>
      </c>
      <c r="AK190" s="5">
        <f t="shared" si="158"/>
        <v>-10055.542920094096</v>
      </c>
      <c r="AL190" s="5">
        <f t="shared" si="158"/>
        <v>-10351.343474326864</v>
      </c>
      <c r="AM190" s="5">
        <f t="shared" si="158"/>
        <v>-8299.8454948633134</v>
      </c>
      <c r="AN190" s="8"/>
      <c r="AO190" s="9"/>
      <c r="AP190" s="9"/>
      <c r="AQ190" s="9"/>
      <c r="AR190" s="9"/>
      <c r="AS190" s="9"/>
      <c r="AT190" s="9"/>
      <c r="AU190" s="9"/>
      <c r="AV190" s="9"/>
      <c r="AW190" s="9"/>
      <c r="AX190" s="9"/>
    </row>
    <row r="191" spans="1:50" ht="15.75" customHeight="1" outlineLevel="1" x14ac:dyDescent="0.2">
      <c r="A191" s="120"/>
      <c r="B191" s="24" t="s">
        <v>97</v>
      </c>
      <c r="C191" s="160"/>
      <c r="D191" s="5">
        <f t="shared" ref="D191:AM191" si="159">D187+D190</f>
        <v>231694</v>
      </c>
      <c r="E191" s="5">
        <f t="shared" si="159"/>
        <v>227729.63</v>
      </c>
      <c r="F191" s="5">
        <f t="shared" si="159"/>
        <v>227129.63</v>
      </c>
      <c r="G191" s="5">
        <f t="shared" si="159"/>
        <v>222929.82</v>
      </c>
      <c r="H191" s="5">
        <f t="shared" si="159"/>
        <v>218607.07</v>
      </c>
      <c r="I191" s="5">
        <f t="shared" si="159"/>
        <v>214157.76</v>
      </c>
      <c r="J191" s="5">
        <f t="shared" si="159"/>
        <v>209578.17</v>
      </c>
      <c r="K191" s="5">
        <f t="shared" si="159"/>
        <v>204864.47</v>
      </c>
      <c r="L191" s="5">
        <f t="shared" si="159"/>
        <v>200012.72</v>
      </c>
      <c r="M191" s="5">
        <f t="shared" si="159"/>
        <v>195018.85</v>
      </c>
      <c r="N191" s="5">
        <f t="shared" si="159"/>
        <v>189878.68</v>
      </c>
      <c r="O191" s="264">
        <f t="shared" si="159"/>
        <v>184587.91</v>
      </c>
      <c r="P191" s="5">
        <f t="shared" si="159"/>
        <v>179117.87101916666</v>
      </c>
      <c r="Q191" s="5">
        <f t="shared" si="159"/>
        <v>173486.92172498049</v>
      </c>
      <c r="R191" s="5">
        <f t="shared" si="159"/>
        <v>167690.32867239034</v>
      </c>
      <c r="S191" s="5">
        <f t="shared" si="159"/>
        <v>161723.21917416982</v>
      </c>
      <c r="T191" s="5">
        <f t="shared" si="159"/>
        <v>155580.57720487664</v>
      </c>
      <c r="U191" s="5">
        <f t="shared" si="159"/>
        <v>149257.23918432009</v>
      </c>
      <c r="V191" s="5">
        <f t="shared" si="159"/>
        <v>142747.88963699219</v>
      </c>
      <c r="W191" s="5">
        <f t="shared" si="159"/>
        <v>136047.0567238137</v>
      </c>
      <c r="X191" s="5">
        <f t="shared" si="159"/>
        <v>129149.10764243922</v>
      </c>
      <c r="Y191" s="5">
        <f t="shared" si="159"/>
        <v>122048.24389225431</v>
      </c>
      <c r="Z191" s="5">
        <f t="shared" si="159"/>
        <v>114738.49640008478</v>
      </c>
      <c r="AA191" s="264">
        <f t="shared" si="159"/>
        <v>107213.72050252061</v>
      </c>
      <c r="AB191" s="5">
        <f t="shared" si="159"/>
        <v>99467.590780636412</v>
      </c>
      <c r="AC191" s="5">
        <f t="shared" si="159"/>
        <v>91493.595742766804</v>
      </c>
      <c r="AD191" s="5">
        <f t="shared" si="159"/>
        <v>83285.032350866531</v>
      </c>
      <c r="AE191" s="5">
        <f t="shared" si="159"/>
        <v>74835.000385854524</v>
      </c>
      <c r="AF191" s="5">
        <f t="shared" si="159"/>
        <v>66136.396647205082</v>
      </c>
      <c r="AG191" s="5">
        <f t="shared" si="159"/>
        <v>57181.908981910368</v>
      </c>
      <c r="AH191" s="5">
        <f t="shared" si="159"/>
        <v>47964.010137794896</v>
      </c>
      <c r="AI191" s="5">
        <f t="shared" si="159"/>
        <v>38474.951436015028</v>
      </c>
      <c r="AJ191" s="5">
        <f t="shared" si="159"/>
        <v>28706.756257424469</v>
      </c>
      <c r="AK191" s="5">
        <f t="shared" si="159"/>
        <v>18651.213337330373</v>
      </c>
      <c r="AL191" s="5">
        <f t="shared" si="159"/>
        <v>8299.8698630035087</v>
      </c>
      <c r="AM191" s="333">
        <f t="shared" si="159"/>
        <v>2.4368140195292654E-2</v>
      </c>
      <c r="AN191" s="8"/>
      <c r="AO191" s="9"/>
      <c r="AP191" s="9"/>
      <c r="AQ191" s="9"/>
      <c r="AR191" s="9"/>
      <c r="AS191" s="9"/>
      <c r="AT191" s="9"/>
      <c r="AU191" s="9"/>
      <c r="AV191" s="9"/>
      <c r="AW191" s="9"/>
      <c r="AX191" s="9"/>
    </row>
    <row r="192" spans="1:50" ht="15.75" customHeight="1" x14ac:dyDescent="0.2">
      <c r="A192" s="120"/>
      <c r="B192" s="152" t="s">
        <v>281</v>
      </c>
      <c r="C192" s="160"/>
      <c r="D192" s="185">
        <f t="shared" ref="D192:O192" si="160">D196</f>
        <v>-45000</v>
      </c>
      <c r="E192" s="185">
        <f t="shared" si="160"/>
        <v>0</v>
      </c>
      <c r="F192" s="185">
        <f t="shared" si="160"/>
        <v>-305577</v>
      </c>
      <c r="G192" s="185">
        <f t="shared" si="160"/>
        <v>-80016</v>
      </c>
      <c r="H192" s="185">
        <f t="shared" si="160"/>
        <v>-14407</v>
      </c>
      <c r="I192" s="185">
        <f t="shared" si="160"/>
        <v>0</v>
      </c>
      <c r="J192" s="185">
        <f t="shared" si="160"/>
        <v>0</v>
      </c>
      <c r="K192" s="185">
        <f t="shared" si="160"/>
        <v>0</v>
      </c>
      <c r="L192" s="185">
        <f t="shared" si="160"/>
        <v>0</v>
      </c>
      <c r="M192" s="185">
        <f t="shared" si="160"/>
        <v>0</v>
      </c>
      <c r="N192" s="185">
        <f t="shared" si="160"/>
        <v>0</v>
      </c>
      <c r="O192" s="339">
        <f t="shared" si="160"/>
        <v>0</v>
      </c>
      <c r="P192" s="185"/>
      <c r="Q192" s="185"/>
      <c r="R192" s="185"/>
      <c r="S192" s="185"/>
      <c r="T192" s="185"/>
      <c r="U192" s="185"/>
      <c r="V192" s="185"/>
      <c r="W192" s="185"/>
      <c r="X192" s="185"/>
      <c r="Y192" s="185"/>
      <c r="Z192" s="185"/>
      <c r="AA192" s="339"/>
      <c r="AB192" s="185"/>
      <c r="AC192" s="185"/>
      <c r="AD192" s="185"/>
      <c r="AE192" s="185"/>
      <c r="AF192" s="185"/>
      <c r="AG192" s="185"/>
      <c r="AH192" s="185"/>
      <c r="AI192" s="185"/>
      <c r="AJ192" s="185"/>
      <c r="AK192" s="185"/>
      <c r="AL192" s="185"/>
      <c r="AM192" s="185"/>
      <c r="AN192" s="8"/>
      <c r="AO192" s="9"/>
      <c r="AP192" s="9"/>
      <c r="AQ192" s="9"/>
      <c r="AR192" s="9"/>
      <c r="AS192" s="9"/>
      <c r="AT192" s="9"/>
      <c r="AU192" s="9"/>
      <c r="AV192" s="9"/>
      <c r="AW192" s="9"/>
      <c r="AX192" s="9"/>
    </row>
    <row r="193" spans="1:50" ht="15.75" customHeight="1" outlineLevel="1" x14ac:dyDescent="0.2">
      <c r="A193" s="120"/>
      <c r="B193" s="24" t="s">
        <v>93</v>
      </c>
      <c r="C193" s="125">
        <v>305316</v>
      </c>
      <c r="D193" s="5">
        <f>C193</f>
        <v>305316</v>
      </c>
      <c r="E193" s="5">
        <f t="shared" ref="E193:F193" si="161">D197</f>
        <v>340216</v>
      </c>
      <c r="F193" s="5">
        <f t="shared" si="161"/>
        <v>400000</v>
      </c>
      <c r="G193" s="6">
        <f>F193+F196</f>
        <v>94423</v>
      </c>
      <c r="H193" s="5">
        <f>G197</f>
        <v>14407</v>
      </c>
      <c r="I193" s="5"/>
      <c r="J193" s="5"/>
      <c r="K193" s="5"/>
      <c r="L193" s="5"/>
      <c r="M193" s="5"/>
      <c r="N193" s="5"/>
      <c r="O193" s="264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264"/>
      <c r="AB193" s="5"/>
      <c r="AC193" s="5"/>
      <c r="AD193" s="5"/>
      <c r="AE193" s="5"/>
      <c r="AF193" s="5"/>
      <c r="AG193" s="5"/>
      <c r="AH193" s="5"/>
      <c r="AI193" s="5"/>
      <c r="AJ193" s="5"/>
      <c r="AK193" s="5"/>
      <c r="AL193" s="5"/>
      <c r="AM193" s="5"/>
      <c r="AN193" s="8"/>
      <c r="AO193" s="9"/>
      <c r="AP193" s="9"/>
      <c r="AQ193" s="9"/>
      <c r="AR193" s="9"/>
      <c r="AS193" s="9"/>
      <c r="AT193" s="9"/>
      <c r="AU193" s="9"/>
      <c r="AV193" s="9"/>
      <c r="AW193" s="9"/>
      <c r="AX193" s="9"/>
    </row>
    <row r="194" spans="1:50" ht="15.75" customHeight="1" outlineLevel="1" x14ac:dyDescent="0.2">
      <c r="A194" s="120"/>
      <c r="B194" s="139" t="s">
        <v>282</v>
      </c>
      <c r="C194" s="125"/>
      <c r="D194" s="6">
        <v>-79900</v>
      </c>
      <c r="E194" s="6">
        <v>-59784</v>
      </c>
      <c r="F194" s="6"/>
      <c r="G194" s="6"/>
      <c r="H194" s="6"/>
      <c r="I194" s="5"/>
      <c r="J194" s="5"/>
      <c r="K194" s="5"/>
      <c r="L194" s="5"/>
      <c r="M194" s="5"/>
      <c r="N194" s="5"/>
      <c r="O194" s="264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264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8"/>
      <c r="AO194" s="9"/>
      <c r="AP194" s="9"/>
      <c r="AQ194" s="9"/>
      <c r="AR194" s="9"/>
      <c r="AS194" s="9"/>
      <c r="AT194" s="9"/>
      <c r="AU194" s="9"/>
      <c r="AV194" s="9"/>
      <c r="AW194" s="9"/>
      <c r="AX194" s="9"/>
    </row>
    <row r="195" spans="1:50" ht="15.75" customHeight="1" outlineLevel="1" x14ac:dyDescent="0.2">
      <c r="A195" s="120"/>
      <c r="B195" s="24" t="s">
        <v>95</v>
      </c>
      <c r="C195" s="157"/>
      <c r="D195" s="5"/>
      <c r="E195" s="5"/>
      <c r="F195" s="6">
        <v>-55467</v>
      </c>
      <c r="G195" s="6">
        <f>-G193*3.5%</f>
        <v>-3304.8050000000003</v>
      </c>
      <c r="H195" s="5">
        <f>H193*3.2%</f>
        <v>461.024</v>
      </c>
      <c r="I195" s="5"/>
      <c r="J195" s="5"/>
      <c r="K195" s="5"/>
      <c r="L195" s="5"/>
      <c r="M195" s="5"/>
      <c r="N195" s="5"/>
      <c r="O195" s="264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264"/>
      <c r="AB195" s="5"/>
      <c r="AC195" s="5"/>
      <c r="AD195" s="5"/>
      <c r="AE195" s="5"/>
      <c r="AF195" s="5"/>
      <c r="AG195" s="5"/>
      <c r="AH195" s="5"/>
      <c r="AI195" s="5"/>
      <c r="AJ195" s="5"/>
      <c r="AK195" s="5"/>
      <c r="AL195" s="5"/>
      <c r="AM195" s="5"/>
      <c r="AN195" s="8"/>
      <c r="AO195" s="9"/>
      <c r="AP195" s="9"/>
      <c r="AQ195" s="9"/>
      <c r="AR195" s="9"/>
      <c r="AS195" s="9"/>
      <c r="AT195" s="9"/>
      <c r="AU195" s="9"/>
      <c r="AV195" s="9"/>
      <c r="AW195" s="9"/>
      <c r="AX195" s="9"/>
    </row>
    <row r="196" spans="1:50" ht="15.75" customHeight="1" outlineLevel="1" x14ac:dyDescent="0.2">
      <c r="A196" s="120"/>
      <c r="B196" s="24" t="s">
        <v>96</v>
      </c>
      <c r="C196" s="160"/>
      <c r="D196" s="330">
        <v>-45000</v>
      </c>
      <c r="E196" s="331">
        <v>0</v>
      </c>
      <c r="F196" s="331">
        <v>-305577</v>
      </c>
      <c r="G196" s="331">
        <v>-80016</v>
      </c>
      <c r="H196" s="331">
        <f>445-14852</f>
        <v>-14407</v>
      </c>
      <c r="I196" s="340"/>
      <c r="J196" s="340"/>
      <c r="K196" s="340"/>
      <c r="L196" s="340"/>
      <c r="M196" s="340"/>
      <c r="N196" s="340"/>
      <c r="O196" s="341"/>
      <c r="P196" s="340"/>
      <c r="Q196" s="340"/>
      <c r="R196" s="340"/>
      <c r="S196" s="340"/>
      <c r="T196" s="342"/>
      <c r="U196" s="5"/>
      <c r="V196" s="5"/>
      <c r="W196" s="5"/>
      <c r="X196" s="5"/>
      <c r="Y196" s="5"/>
      <c r="Z196" s="5"/>
      <c r="AA196" s="264"/>
      <c r="AB196" s="5"/>
      <c r="AC196" s="5"/>
      <c r="AD196" s="5"/>
      <c r="AE196" s="5"/>
      <c r="AF196" s="5"/>
      <c r="AG196" s="5"/>
      <c r="AH196" s="5"/>
      <c r="AI196" s="5"/>
      <c r="AJ196" s="5"/>
      <c r="AK196" s="5"/>
      <c r="AL196" s="5"/>
      <c r="AM196" s="5"/>
      <c r="AN196" s="5"/>
      <c r="AO196" s="9"/>
      <c r="AP196" s="9"/>
      <c r="AQ196" s="9"/>
      <c r="AR196" s="9"/>
      <c r="AS196" s="9"/>
      <c r="AT196" s="9"/>
      <c r="AU196" s="9"/>
      <c r="AV196" s="9"/>
      <c r="AW196" s="9"/>
      <c r="AX196" s="9"/>
    </row>
    <row r="197" spans="1:50" ht="15.75" customHeight="1" outlineLevel="1" x14ac:dyDescent="0.2">
      <c r="A197" s="120"/>
      <c r="B197" s="24" t="s">
        <v>97</v>
      </c>
      <c r="C197" s="160"/>
      <c r="D197" s="5">
        <f t="shared" ref="D197:E197" si="162">D193-D194+D196</f>
        <v>340216</v>
      </c>
      <c r="E197" s="5">
        <f t="shared" si="162"/>
        <v>400000</v>
      </c>
      <c r="F197" s="5">
        <f t="shared" ref="F197:H197" si="163">F193+F196</f>
        <v>94423</v>
      </c>
      <c r="G197" s="5">
        <f t="shared" si="163"/>
        <v>14407</v>
      </c>
      <c r="H197" s="333">
        <f t="shared" si="163"/>
        <v>0</v>
      </c>
      <c r="I197" s="5"/>
      <c r="J197" s="5"/>
      <c r="K197" s="5"/>
      <c r="L197" s="5"/>
      <c r="M197" s="5"/>
      <c r="N197" s="5"/>
      <c r="O197" s="264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264"/>
      <c r="AB197" s="5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8"/>
      <c r="AO197" s="9"/>
      <c r="AP197" s="9"/>
      <c r="AQ197" s="9"/>
      <c r="AR197" s="9"/>
      <c r="AS197" s="9"/>
      <c r="AT197" s="9"/>
      <c r="AU197" s="9"/>
      <c r="AV197" s="9"/>
      <c r="AW197" s="9"/>
      <c r="AX197" s="9"/>
    </row>
    <row r="198" spans="1:50" ht="15.75" customHeight="1" x14ac:dyDescent="0.2">
      <c r="A198" s="120"/>
      <c r="B198" s="152" t="s">
        <v>283</v>
      </c>
      <c r="C198" s="160"/>
      <c r="D198" s="185">
        <f t="shared" ref="D198:O198" si="164">D200</f>
        <v>-2500</v>
      </c>
      <c r="E198" s="185">
        <f t="shared" si="164"/>
        <v>-2500</v>
      </c>
      <c r="F198" s="185">
        <f t="shared" si="164"/>
        <v>-2500</v>
      </c>
      <c r="G198" s="185">
        <f t="shared" si="164"/>
        <v>-2500</v>
      </c>
      <c r="H198" s="185">
        <f t="shared" si="164"/>
        <v>-2500</v>
      </c>
      <c r="I198" s="185">
        <f t="shared" si="164"/>
        <v>-2500</v>
      </c>
      <c r="J198" s="185">
        <f t="shared" si="164"/>
        <v>-2500</v>
      </c>
      <c r="K198" s="185">
        <f t="shared" si="164"/>
        <v>-2500</v>
      </c>
      <c r="L198" s="185">
        <f t="shared" si="164"/>
        <v>-2500</v>
      </c>
      <c r="M198" s="185">
        <f t="shared" si="164"/>
        <v>-2500</v>
      </c>
      <c r="N198" s="185">
        <f t="shared" si="164"/>
        <v>-2500</v>
      </c>
      <c r="O198" s="339">
        <f t="shared" si="164"/>
        <v>-102500</v>
      </c>
      <c r="P198" s="185"/>
      <c r="Q198" s="185"/>
      <c r="R198" s="185"/>
      <c r="S198" s="185"/>
      <c r="T198" s="185"/>
      <c r="U198" s="185"/>
      <c r="V198" s="185"/>
      <c r="W198" s="185"/>
      <c r="X198" s="185"/>
      <c r="Y198" s="185"/>
      <c r="Z198" s="185"/>
      <c r="AA198" s="339"/>
      <c r="AB198" s="185"/>
      <c r="AC198" s="185"/>
      <c r="AD198" s="185"/>
      <c r="AE198" s="185"/>
      <c r="AF198" s="185"/>
      <c r="AG198" s="185"/>
      <c r="AH198" s="185"/>
      <c r="AI198" s="185"/>
      <c r="AJ198" s="185"/>
      <c r="AK198" s="185"/>
      <c r="AL198" s="185"/>
      <c r="AM198" s="185"/>
      <c r="AN198" s="8"/>
      <c r="AO198" s="9"/>
      <c r="AP198" s="9"/>
      <c r="AQ198" s="9"/>
      <c r="AR198" s="9"/>
      <c r="AS198" s="9"/>
      <c r="AT198" s="9"/>
      <c r="AU198" s="9"/>
      <c r="AV198" s="9"/>
      <c r="AW198" s="9"/>
      <c r="AX198" s="9"/>
    </row>
    <row r="199" spans="1:50" ht="15.75" customHeight="1" outlineLevel="1" x14ac:dyDescent="0.2">
      <c r="A199" s="120"/>
      <c r="B199" s="24" t="s">
        <v>93</v>
      </c>
      <c r="C199" s="125">
        <v>100000</v>
      </c>
      <c r="D199" s="6">
        <v>100000</v>
      </c>
      <c r="E199" s="6">
        <v>100000</v>
      </c>
      <c r="F199" s="6">
        <v>100000</v>
      </c>
      <c r="G199" s="6">
        <v>100000</v>
      </c>
      <c r="H199" s="6">
        <v>100000</v>
      </c>
      <c r="I199" s="6">
        <v>100000</v>
      </c>
      <c r="J199" s="6">
        <v>100000</v>
      </c>
      <c r="K199" s="6">
        <v>100000</v>
      </c>
      <c r="L199" s="6">
        <v>100000</v>
      </c>
      <c r="M199" s="6">
        <v>100000</v>
      </c>
      <c r="N199" s="6">
        <v>100000</v>
      </c>
      <c r="O199" s="321">
        <v>100000</v>
      </c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321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8"/>
      <c r="AO199" s="9"/>
      <c r="AP199" s="9"/>
      <c r="AQ199" s="9"/>
      <c r="AR199" s="9"/>
      <c r="AS199" s="9"/>
      <c r="AT199" s="9"/>
      <c r="AU199" s="9"/>
      <c r="AV199" s="9"/>
      <c r="AW199" s="9"/>
      <c r="AX199" s="9"/>
    </row>
    <row r="200" spans="1:50" ht="15.75" customHeight="1" outlineLevel="1" x14ac:dyDescent="0.2">
      <c r="A200" s="120"/>
      <c r="B200" s="24" t="s">
        <v>94</v>
      </c>
      <c r="C200" s="125">
        <v>-2500</v>
      </c>
      <c r="D200" s="5">
        <f t="shared" ref="D200:O200" si="165">D201+D202</f>
        <v>-2500</v>
      </c>
      <c r="E200" s="5">
        <f t="shared" si="165"/>
        <v>-2500</v>
      </c>
      <c r="F200" s="5">
        <f t="shared" si="165"/>
        <v>-2500</v>
      </c>
      <c r="G200" s="5">
        <f t="shared" si="165"/>
        <v>-2500</v>
      </c>
      <c r="H200" s="5">
        <f t="shared" si="165"/>
        <v>-2500</v>
      </c>
      <c r="I200" s="5">
        <f t="shared" si="165"/>
        <v>-2500</v>
      </c>
      <c r="J200" s="5">
        <f t="shared" si="165"/>
        <v>-2500</v>
      </c>
      <c r="K200" s="5">
        <f t="shared" si="165"/>
        <v>-2500</v>
      </c>
      <c r="L200" s="5">
        <f t="shared" si="165"/>
        <v>-2500</v>
      </c>
      <c r="M200" s="5">
        <f t="shared" si="165"/>
        <v>-2500</v>
      </c>
      <c r="N200" s="5">
        <f t="shared" si="165"/>
        <v>-2500</v>
      </c>
      <c r="O200" s="264">
        <f t="shared" si="165"/>
        <v>-102500</v>
      </c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264"/>
      <c r="AB200" s="5"/>
      <c r="AC200" s="5"/>
      <c r="AD200" s="5"/>
      <c r="AE200" s="5"/>
      <c r="AF200" s="5"/>
      <c r="AG200" s="5"/>
      <c r="AH200" s="5"/>
      <c r="AI200" s="5"/>
      <c r="AJ200" s="5"/>
      <c r="AK200" s="5"/>
      <c r="AL200" s="5"/>
      <c r="AM200" s="5"/>
      <c r="AN200" s="8"/>
      <c r="AO200" s="9"/>
      <c r="AP200" s="9"/>
      <c r="AQ200" s="9"/>
      <c r="AR200" s="9"/>
      <c r="AS200" s="9"/>
      <c r="AT200" s="9"/>
      <c r="AU200" s="9"/>
      <c r="AV200" s="9"/>
      <c r="AW200" s="9"/>
      <c r="AX200" s="9"/>
    </row>
    <row r="201" spans="1:50" ht="15.75" customHeight="1" outlineLevel="1" x14ac:dyDescent="0.2">
      <c r="A201" s="120"/>
      <c r="B201" s="24" t="s">
        <v>95</v>
      </c>
      <c r="C201" s="142">
        <v>0.3</v>
      </c>
      <c r="D201" s="330">
        <f t="shared" ref="D201:O201" si="166">-D199*$C201/12</f>
        <v>-2500</v>
      </c>
      <c r="E201" s="331">
        <f t="shared" si="166"/>
        <v>-2500</v>
      </c>
      <c r="F201" s="331">
        <f t="shared" si="166"/>
        <v>-2500</v>
      </c>
      <c r="G201" s="331">
        <f t="shared" si="166"/>
        <v>-2500</v>
      </c>
      <c r="H201" s="331">
        <f t="shared" si="166"/>
        <v>-2500</v>
      </c>
      <c r="I201" s="331">
        <f t="shared" si="166"/>
        <v>-2500</v>
      </c>
      <c r="J201" s="331">
        <f t="shared" si="166"/>
        <v>-2500</v>
      </c>
      <c r="K201" s="331">
        <f t="shared" si="166"/>
        <v>-2500</v>
      </c>
      <c r="L201" s="331">
        <f t="shared" si="166"/>
        <v>-2500</v>
      </c>
      <c r="M201" s="331">
        <f t="shared" si="166"/>
        <v>-2500</v>
      </c>
      <c r="N201" s="331">
        <f t="shared" si="166"/>
        <v>-2500</v>
      </c>
      <c r="O201" s="335">
        <f t="shared" si="166"/>
        <v>-2500</v>
      </c>
      <c r="P201" s="331"/>
      <c r="Q201" s="331"/>
      <c r="R201" s="331"/>
      <c r="S201" s="331"/>
      <c r="T201" s="332"/>
      <c r="U201" s="6"/>
      <c r="V201" s="6"/>
      <c r="W201" s="6"/>
      <c r="X201" s="6"/>
      <c r="Y201" s="6"/>
      <c r="Z201" s="6"/>
      <c r="AA201" s="321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5"/>
      <c r="AO201" s="9"/>
      <c r="AP201" s="9"/>
      <c r="AQ201" s="9"/>
      <c r="AR201" s="9"/>
      <c r="AS201" s="9"/>
      <c r="AT201" s="9"/>
      <c r="AU201" s="9"/>
      <c r="AV201" s="9"/>
      <c r="AW201" s="9"/>
      <c r="AX201" s="9"/>
    </row>
    <row r="202" spans="1:50" ht="15.75" customHeight="1" outlineLevel="1" x14ac:dyDescent="0.2">
      <c r="A202" s="120"/>
      <c r="B202" s="24" t="s">
        <v>96</v>
      </c>
      <c r="C202" s="160"/>
      <c r="D202" s="6">
        <v>0</v>
      </c>
      <c r="E202" s="6">
        <v>0</v>
      </c>
      <c r="F202" s="6">
        <v>0</v>
      </c>
      <c r="G202" s="6">
        <v>0</v>
      </c>
      <c r="H202" s="6">
        <v>0</v>
      </c>
      <c r="I202" s="6">
        <v>0</v>
      </c>
      <c r="J202" s="6">
        <v>0</v>
      </c>
      <c r="K202" s="6">
        <v>0</v>
      </c>
      <c r="L202" s="6">
        <v>0</v>
      </c>
      <c r="M202" s="6">
        <v>0</v>
      </c>
      <c r="N202" s="6">
        <v>0</v>
      </c>
      <c r="O202" s="321">
        <v>-100000</v>
      </c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321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8"/>
      <c r="AO202" s="9"/>
      <c r="AP202" s="9"/>
      <c r="AQ202" s="9"/>
      <c r="AR202" s="9"/>
      <c r="AS202" s="9"/>
      <c r="AT202" s="9"/>
      <c r="AU202" s="9"/>
      <c r="AV202" s="9"/>
      <c r="AW202" s="9"/>
      <c r="AX202" s="9"/>
    </row>
    <row r="203" spans="1:50" ht="15.75" customHeight="1" outlineLevel="1" x14ac:dyDescent="0.2">
      <c r="A203" s="120"/>
      <c r="B203" s="24" t="s">
        <v>97</v>
      </c>
      <c r="C203" s="160"/>
      <c r="D203" s="5">
        <f t="shared" ref="D203:O203" si="167">D199+D202</f>
        <v>100000</v>
      </c>
      <c r="E203" s="5">
        <f t="shared" si="167"/>
        <v>100000</v>
      </c>
      <c r="F203" s="5">
        <f t="shared" si="167"/>
        <v>100000</v>
      </c>
      <c r="G203" s="5">
        <f t="shared" si="167"/>
        <v>100000</v>
      </c>
      <c r="H203" s="5">
        <f t="shared" si="167"/>
        <v>100000</v>
      </c>
      <c r="I203" s="5">
        <f t="shared" si="167"/>
        <v>100000</v>
      </c>
      <c r="J203" s="5">
        <f t="shared" si="167"/>
        <v>100000</v>
      </c>
      <c r="K203" s="5">
        <f t="shared" si="167"/>
        <v>100000</v>
      </c>
      <c r="L203" s="5">
        <f t="shared" si="167"/>
        <v>100000</v>
      </c>
      <c r="M203" s="5">
        <f t="shared" si="167"/>
        <v>100000</v>
      </c>
      <c r="N203" s="5">
        <f t="shared" si="167"/>
        <v>100000</v>
      </c>
      <c r="O203" s="343">
        <f t="shared" si="167"/>
        <v>0</v>
      </c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264"/>
      <c r="AB203" s="5"/>
      <c r="AC203" s="5"/>
      <c r="AD203" s="5"/>
      <c r="AE203" s="5"/>
      <c r="AF203" s="5"/>
      <c r="AG203" s="5"/>
      <c r="AH203" s="5"/>
      <c r="AI203" s="5"/>
      <c r="AJ203" s="5"/>
      <c r="AK203" s="5"/>
      <c r="AL203" s="5"/>
      <c r="AM203" s="5"/>
      <c r="AN203" s="8"/>
      <c r="AO203" s="9"/>
      <c r="AP203" s="9"/>
      <c r="AQ203" s="9"/>
      <c r="AR203" s="9"/>
      <c r="AS203" s="9"/>
      <c r="AT203" s="9"/>
      <c r="AU203" s="9"/>
      <c r="AV203" s="9"/>
      <c r="AW203" s="9"/>
      <c r="AX203" s="9"/>
    </row>
    <row r="204" spans="1:50" ht="15.75" customHeight="1" x14ac:dyDescent="0.2">
      <c r="A204" s="120"/>
      <c r="B204" s="152" t="s">
        <v>284</v>
      </c>
      <c r="C204" s="160"/>
      <c r="D204" s="185">
        <f t="shared" ref="D204:O204" si="168">D206</f>
        <v>-3333.3333333333335</v>
      </c>
      <c r="E204" s="185">
        <f t="shared" si="168"/>
        <v>-3333.3333333333335</v>
      </c>
      <c r="F204" s="185">
        <f t="shared" si="168"/>
        <v>-3333.3333333333335</v>
      </c>
      <c r="G204" s="185">
        <f t="shared" si="168"/>
        <v>-3333.3333333333335</v>
      </c>
      <c r="H204" s="185">
        <f t="shared" si="168"/>
        <v>-3333.3333333333335</v>
      </c>
      <c r="I204" s="185">
        <f t="shared" si="168"/>
        <v>-3333.3333333333335</v>
      </c>
      <c r="J204" s="185">
        <f t="shared" si="168"/>
        <v>-3333.3333333333335</v>
      </c>
      <c r="K204" s="185">
        <f t="shared" si="168"/>
        <v>-3333.3333333333335</v>
      </c>
      <c r="L204" s="185">
        <f t="shared" si="168"/>
        <v>-3333.3333333333335</v>
      </c>
      <c r="M204" s="185">
        <f t="shared" si="168"/>
        <v>-3333.3333333333335</v>
      </c>
      <c r="N204" s="185">
        <f t="shared" si="168"/>
        <v>-3333.3333333333335</v>
      </c>
      <c r="O204" s="339">
        <f t="shared" si="168"/>
        <v>-103333.33333333333</v>
      </c>
      <c r="P204" s="185"/>
      <c r="Q204" s="185"/>
      <c r="R204" s="185"/>
      <c r="S204" s="185"/>
      <c r="T204" s="185"/>
      <c r="U204" s="185"/>
      <c r="V204" s="185"/>
      <c r="W204" s="185"/>
      <c r="X204" s="185"/>
      <c r="Y204" s="185"/>
      <c r="Z204" s="185"/>
      <c r="AA204" s="339"/>
      <c r="AB204" s="185"/>
      <c r="AC204" s="185"/>
      <c r="AD204" s="185"/>
      <c r="AE204" s="185"/>
      <c r="AF204" s="185"/>
      <c r="AG204" s="185"/>
      <c r="AH204" s="185"/>
      <c r="AI204" s="185"/>
      <c r="AJ204" s="185"/>
      <c r="AK204" s="185"/>
      <c r="AL204" s="185"/>
      <c r="AM204" s="185"/>
      <c r="AN204" s="8"/>
      <c r="AO204" s="9"/>
      <c r="AP204" s="9"/>
      <c r="AQ204" s="9"/>
      <c r="AR204" s="9"/>
      <c r="AS204" s="9"/>
      <c r="AT204" s="9"/>
      <c r="AU204" s="9"/>
      <c r="AV204" s="9"/>
      <c r="AW204" s="9"/>
      <c r="AX204" s="9"/>
    </row>
    <row r="205" spans="1:50" ht="15.75" customHeight="1" outlineLevel="1" x14ac:dyDescent="0.2">
      <c r="A205" s="120"/>
      <c r="B205" s="24" t="s">
        <v>93</v>
      </c>
      <c r="C205" s="125">
        <v>100000</v>
      </c>
      <c r="D205" s="6">
        <v>100000</v>
      </c>
      <c r="E205" s="6">
        <v>100000</v>
      </c>
      <c r="F205" s="6">
        <v>100000</v>
      </c>
      <c r="G205" s="6">
        <v>100000</v>
      </c>
      <c r="H205" s="6">
        <v>100000</v>
      </c>
      <c r="I205" s="6">
        <v>100000</v>
      </c>
      <c r="J205" s="6">
        <v>100000</v>
      </c>
      <c r="K205" s="6">
        <v>100000</v>
      </c>
      <c r="L205" s="6">
        <v>100000</v>
      </c>
      <c r="M205" s="6">
        <v>100000</v>
      </c>
      <c r="N205" s="6">
        <v>100000</v>
      </c>
      <c r="O205" s="321">
        <v>100000</v>
      </c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321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8"/>
      <c r="AO205" s="9"/>
      <c r="AP205" s="9"/>
      <c r="AQ205" s="9"/>
      <c r="AR205" s="9"/>
      <c r="AS205" s="9"/>
      <c r="AT205" s="9"/>
      <c r="AU205" s="9"/>
      <c r="AV205" s="9"/>
      <c r="AW205" s="9"/>
      <c r="AX205" s="9"/>
    </row>
    <row r="206" spans="1:50" ht="15.75" customHeight="1" outlineLevel="1" x14ac:dyDescent="0.2">
      <c r="A206" s="120"/>
      <c r="B206" s="24" t="s">
        <v>94</v>
      </c>
      <c r="C206" s="249">
        <f>D206</f>
        <v>-3333.3333333333335</v>
      </c>
      <c r="D206" s="5">
        <f t="shared" ref="D206:O206" si="169">D207+D208</f>
        <v>-3333.3333333333335</v>
      </c>
      <c r="E206" s="5">
        <f t="shared" si="169"/>
        <v>-3333.3333333333335</v>
      </c>
      <c r="F206" s="5">
        <f t="shared" si="169"/>
        <v>-3333.3333333333335</v>
      </c>
      <c r="G206" s="5">
        <f t="shared" si="169"/>
        <v>-3333.3333333333335</v>
      </c>
      <c r="H206" s="5">
        <f t="shared" si="169"/>
        <v>-3333.3333333333335</v>
      </c>
      <c r="I206" s="5">
        <f t="shared" si="169"/>
        <v>-3333.3333333333335</v>
      </c>
      <c r="J206" s="5">
        <f t="shared" si="169"/>
        <v>-3333.3333333333335</v>
      </c>
      <c r="K206" s="5">
        <f t="shared" si="169"/>
        <v>-3333.3333333333335</v>
      </c>
      <c r="L206" s="5">
        <f t="shared" si="169"/>
        <v>-3333.3333333333335</v>
      </c>
      <c r="M206" s="5">
        <f t="shared" si="169"/>
        <v>-3333.3333333333335</v>
      </c>
      <c r="N206" s="5">
        <f t="shared" si="169"/>
        <v>-3333.3333333333335</v>
      </c>
      <c r="O206" s="264">
        <f t="shared" si="169"/>
        <v>-103333.33333333333</v>
      </c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264"/>
      <c r="AB206" s="5"/>
      <c r="AC206" s="5"/>
      <c r="AD206" s="5"/>
      <c r="AE206" s="5"/>
      <c r="AF206" s="5"/>
      <c r="AG206" s="5"/>
      <c r="AH206" s="5"/>
      <c r="AI206" s="5"/>
      <c r="AJ206" s="5"/>
      <c r="AK206" s="5"/>
      <c r="AL206" s="5"/>
      <c r="AM206" s="5"/>
      <c r="AN206" s="8"/>
      <c r="AO206" s="9"/>
      <c r="AP206" s="9"/>
      <c r="AQ206" s="9"/>
      <c r="AR206" s="9"/>
      <c r="AS206" s="9"/>
      <c r="AT206" s="9"/>
      <c r="AU206" s="9"/>
      <c r="AV206" s="9"/>
      <c r="AW206" s="9"/>
      <c r="AX206" s="9"/>
    </row>
    <row r="207" spans="1:50" ht="15.75" customHeight="1" outlineLevel="1" x14ac:dyDescent="0.2">
      <c r="A207" s="120"/>
      <c r="B207" s="24" t="s">
        <v>95</v>
      </c>
      <c r="C207" s="142">
        <v>0.4</v>
      </c>
      <c r="D207" s="330">
        <f t="shared" ref="D207:O207" si="170">-D205*$C207/12</f>
        <v>-3333.3333333333335</v>
      </c>
      <c r="E207" s="331">
        <f t="shared" si="170"/>
        <v>-3333.3333333333335</v>
      </c>
      <c r="F207" s="331">
        <f t="shared" si="170"/>
        <v>-3333.3333333333335</v>
      </c>
      <c r="G207" s="331">
        <f t="shared" si="170"/>
        <v>-3333.3333333333335</v>
      </c>
      <c r="H207" s="331">
        <f t="shared" si="170"/>
        <v>-3333.3333333333335</v>
      </c>
      <c r="I207" s="331">
        <f t="shared" si="170"/>
        <v>-3333.3333333333335</v>
      </c>
      <c r="J207" s="331">
        <f t="shared" si="170"/>
        <v>-3333.3333333333335</v>
      </c>
      <c r="K207" s="331">
        <f t="shared" si="170"/>
        <v>-3333.3333333333335</v>
      </c>
      <c r="L207" s="331">
        <f t="shared" si="170"/>
        <v>-3333.3333333333335</v>
      </c>
      <c r="M207" s="331">
        <f t="shared" si="170"/>
        <v>-3333.3333333333335</v>
      </c>
      <c r="N207" s="331">
        <f t="shared" si="170"/>
        <v>-3333.3333333333335</v>
      </c>
      <c r="O207" s="335">
        <f t="shared" si="170"/>
        <v>-3333.3333333333335</v>
      </c>
      <c r="P207" s="331"/>
      <c r="Q207" s="331"/>
      <c r="R207" s="331"/>
      <c r="S207" s="331"/>
      <c r="T207" s="332"/>
      <c r="U207" s="6"/>
      <c r="V207" s="6"/>
      <c r="W207" s="6"/>
      <c r="X207" s="6"/>
      <c r="Y207" s="6"/>
      <c r="Z207" s="6"/>
      <c r="AA207" s="321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5"/>
      <c r="AO207" s="9"/>
      <c r="AP207" s="9"/>
      <c r="AQ207" s="9"/>
      <c r="AR207" s="9"/>
      <c r="AS207" s="9"/>
      <c r="AT207" s="9"/>
      <c r="AU207" s="9"/>
      <c r="AV207" s="9"/>
      <c r="AW207" s="9"/>
      <c r="AX207" s="9"/>
    </row>
    <row r="208" spans="1:50" ht="15.75" customHeight="1" outlineLevel="1" x14ac:dyDescent="0.2">
      <c r="A208" s="120"/>
      <c r="B208" s="24" t="s">
        <v>96</v>
      </c>
      <c r="C208" s="160"/>
      <c r="D208" s="6">
        <v>0</v>
      </c>
      <c r="E208" s="6">
        <v>0</v>
      </c>
      <c r="F208" s="6">
        <v>0</v>
      </c>
      <c r="G208" s="6">
        <v>0</v>
      </c>
      <c r="H208" s="6">
        <v>0</v>
      </c>
      <c r="I208" s="6">
        <v>0</v>
      </c>
      <c r="J208" s="6">
        <v>0</v>
      </c>
      <c r="K208" s="6">
        <v>0</v>
      </c>
      <c r="L208" s="6">
        <v>0</v>
      </c>
      <c r="M208" s="6">
        <v>0</v>
      </c>
      <c r="N208" s="6">
        <v>0</v>
      </c>
      <c r="O208" s="321">
        <v>-100000</v>
      </c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321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8"/>
      <c r="AO208" s="9"/>
      <c r="AP208" s="9"/>
      <c r="AQ208" s="9"/>
      <c r="AR208" s="9"/>
      <c r="AS208" s="9"/>
      <c r="AT208" s="9"/>
      <c r="AU208" s="9"/>
      <c r="AV208" s="9"/>
      <c r="AW208" s="9"/>
      <c r="AX208" s="9"/>
    </row>
    <row r="209" spans="1:50" ht="15.75" customHeight="1" outlineLevel="1" x14ac:dyDescent="0.2">
      <c r="A209" s="120"/>
      <c r="B209" s="24" t="s">
        <v>97</v>
      </c>
      <c r="C209" s="160"/>
      <c r="D209" s="5">
        <f t="shared" ref="D209:O209" si="171">D205+D208</f>
        <v>100000</v>
      </c>
      <c r="E209" s="5">
        <f t="shared" si="171"/>
        <v>100000</v>
      </c>
      <c r="F209" s="5">
        <f t="shared" si="171"/>
        <v>100000</v>
      </c>
      <c r="G209" s="5">
        <f t="shared" si="171"/>
        <v>100000</v>
      </c>
      <c r="H209" s="5">
        <f t="shared" si="171"/>
        <v>100000</v>
      </c>
      <c r="I209" s="5">
        <f t="shared" si="171"/>
        <v>100000</v>
      </c>
      <c r="J209" s="5">
        <f t="shared" si="171"/>
        <v>100000</v>
      </c>
      <c r="K209" s="5">
        <f t="shared" si="171"/>
        <v>100000</v>
      </c>
      <c r="L209" s="5">
        <f t="shared" si="171"/>
        <v>100000</v>
      </c>
      <c r="M209" s="5">
        <f t="shared" si="171"/>
        <v>100000</v>
      </c>
      <c r="N209" s="5">
        <f t="shared" si="171"/>
        <v>100000</v>
      </c>
      <c r="O209" s="343">
        <f t="shared" si="171"/>
        <v>0</v>
      </c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264"/>
      <c r="AB209" s="5"/>
      <c r="AC209" s="5"/>
      <c r="AD209" s="5"/>
      <c r="AE209" s="5"/>
      <c r="AF209" s="5"/>
      <c r="AG209" s="5"/>
      <c r="AH209" s="5"/>
      <c r="AI209" s="5"/>
      <c r="AJ209" s="5"/>
      <c r="AK209" s="5"/>
      <c r="AL209" s="5"/>
      <c r="AM209" s="5"/>
      <c r="AN209" s="8"/>
      <c r="AO209" s="9"/>
      <c r="AP209" s="9"/>
      <c r="AQ209" s="9"/>
      <c r="AR209" s="9"/>
      <c r="AS209" s="9"/>
      <c r="AT209" s="9"/>
      <c r="AU209" s="9"/>
      <c r="AV209" s="9"/>
      <c r="AW209" s="9"/>
      <c r="AX209" s="9"/>
    </row>
    <row r="210" spans="1:50" ht="15.75" customHeight="1" x14ac:dyDescent="0.2">
      <c r="A210" s="120"/>
      <c r="B210" s="152" t="s">
        <v>285</v>
      </c>
      <c r="C210" s="160"/>
      <c r="D210" s="185">
        <f t="shared" ref="D210:O210" si="172">D212</f>
        <v>-2666.6666666666665</v>
      </c>
      <c r="E210" s="185">
        <f t="shared" si="172"/>
        <v>-2666.6666666666665</v>
      </c>
      <c r="F210" s="185">
        <f t="shared" si="172"/>
        <v>-2666.6666666666665</v>
      </c>
      <c r="G210" s="185">
        <f t="shared" si="172"/>
        <v>-2666.6666666666665</v>
      </c>
      <c r="H210" s="185">
        <f t="shared" si="172"/>
        <v>-2666.6666666666665</v>
      </c>
      <c r="I210" s="185">
        <f t="shared" si="172"/>
        <v>-2666.6666666666665</v>
      </c>
      <c r="J210" s="185">
        <f t="shared" si="172"/>
        <v>-2666.6666666666665</v>
      </c>
      <c r="K210" s="185">
        <f t="shared" si="172"/>
        <v>-2666.6666666666665</v>
      </c>
      <c r="L210" s="185">
        <f t="shared" si="172"/>
        <v>-2666.6666666666665</v>
      </c>
      <c r="M210" s="185">
        <f t="shared" si="172"/>
        <v>-2666.6666666666665</v>
      </c>
      <c r="N210" s="185">
        <f t="shared" si="172"/>
        <v>-2666.6666666666665</v>
      </c>
      <c r="O210" s="339">
        <f t="shared" si="172"/>
        <v>-82666.666666666672</v>
      </c>
      <c r="P210" s="185"/>
      <c r="Q210" s="185"/>
      <c r="R210" s="185"/>
      <c r="S210" s="185"/>
      <c r="T210" s="185"/>
      <c r="U210" s="185"/>
      <c r="V210" s="185"/>
      <c r="W210" s="185"/>
      <c r="X210" s="185"/>
      <c r="Y210" s="185"/>
      <c r="Z210" s="185"/>
      <c r="AA210" s="339"/>
      <c r="AB210" s="185"/>
      <c r="AC210" s="185"/>
      <c r="AD210" s="185"/>
      <c r="AE210" s="185"/>
      <c r="AF210" s="185"/>
      <c r="AG210" s="185"/>
      <c r="AH210" s="185"/>
      <c r="AI210" s="185"/>
      <c r="AJ210" s="185"/>
      <c r="AK210" s="185"/>
      <c r="AL210" s="185"/>
      <c r="AM210" s="185"/>
      <c r="AN210" s="8"/>
      <c r="AO210" s="9"/>
      <c r="AP210" s="9"/>
      <c r="AQ210" s="9"/>
      <c r="AR210" s="9"/>
      <c r="AS210" s="9"/>
      <c r="AT210" s="9"/>
      <c r="AU210" s="9"/>
      <c r="AV210" s="9"/>
      <c r="AW210" s="9"/>
      <c r="AX210" s="9"/>
    </row>
    <row r="211" spans="1:50" ht="15.75" customHeight="1" outlineLevel="1" x14ac:dyDescent="0.2">
      <c r="A211" s="120"/>
      <c r="B211" s="24" t="s">
        <v>93</v>
      </c>
      <c r="C211" s="125">
        <v>80000</v>
      </c>
      <c r="D211" s="6">
        <v>80000</v>
      </c>
      <c r="E211" s="6">
        <v>80000</v>
      </c>
      <c r="F211" s="6">
        <v>80000</v>
      </c>
      <c r="G211" s="6">
        <v>80000</v>
      </c>
      <c r="H211" s="6">
        <v>80000</v>
      </c>
      <c r="I211" s="6">
        <v>80000</v>
      </c>
      <c r="J211" s="6">
        <v>80000</v>
      </c>
      <c r="K211" s="6">
        <v>80000</v>
      </c>
      <c r="L211" s="6">
        <v>80000</v>
      </c>
      <c r="M211" s="6">
        <v>80000</v>
      </c>
      <c r="N211" s="6">
        <v>80000</v>
      </c>
      <c r="O211" s="321">
        <v>80000</v>
      </c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321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8"/>
      <c r="AO211" s="9"/>
      <c r="AP211" s="9"/>
      <c r="AQ211" s="9"/>
      <c r="AR211" s="9"/>
      <c r="AS211" s="9"/>
      <c r="AT211" s="9"/>
      <c r="AU211" s="9"/>
      <c r="AV211" s="9"/>
      <c r="AW211" s="9"/>
      <c r="AX211" s="9"/>
    </row>
    <row r="212" spans="1:50" ht="15.75" customHeight="1" outlineLevel="1" x14ac:dyDescent="0.2">
      <c r="A212" s="120"/>
      <c r="B212" s="24" t="s">
        <v>94</v>
      </c>
      <c r="C212" s="249"/>
      <c r="D212" s="5">
        <f t="shared" ref="D212:O212" si="173">D213+D214</f>
        <v>-2666.6666666666665</v>
      </c>
      <c r="E212" s="5">
        <f t="shared" si="173"/>
        <v>-2666.6666666666665</v>
      </c>
      <c r="F212" s="5">
        <f t="shared" si="173"/>
        <v>-2666.6666666666665</v>
      </c>
      <c r="G212" s="5">
        <f t="shared" si="173"/>
        <v>-2666.6666666666665</v>
      </c>
      <c r="H212" s="5">
        <f t="shared" si="173"/>
        <v>-2666.6666666666665</v>
      </c>
      <c r="I212" s="5">
        <f t="shared" si="173"/>
        <v>-2666.6666666666665</v>
      </c>
      <c r="J212" s="5">
        <f t="shared" si="173"/>
        <v>-2666.6666666666665</v>
      </c>
      <c r="K212" s="5">
        <f t="shared" si="173"/>
        <v>-2666.6666666666665</v>
      </c>
      <c r="L212" s="5">
        <f t="shared" si="173"/>
        <v>-2666.6666666666665</v>
      </c>
      <c r="M212" s="5">
        <f t="shared" si="173"/>
        <v>-2666.6666666666665</v>
      </c>
      <c r="N212" s="5">
        <f t="shared" si="173"/>
        <v>-2666.6666666666665</v>
      </c>
      <c r="O212" s="264">
        <f t="shared" si="173"/>
        <v>-82666.666666666672</v>
      </c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264"/>
      <c r="AB212" s="5"/>
      <c r="AC212" s="5"/>
      <c r="AD212" s="5"/>
      <c r="AE212" s="5"/>
      <c r="AF212" s="5"/>
      <c r="AG212" s="5"/>
      <c r="AH212" s="5"/>
      <c r="AI212" s="5"/>
      <c r="AJ212" s="5"/>
      <c r="AK212" s="5"/>
      <c r="AL212" s="5"/>
      <c r="AM212" s="5"/>
      <c r="AN212" s="8"/>
      <c r="AO212" s="9"/>
      <c r="AP212" s="9"/>
      <c r="AQ212" s="9"/>
      <c r="AR212" s="9"/>
      <c r="AS212" s="9"/>
      <c r="AT212" s="9"/>
      <c r="AU212" s="9"/>
      <c r="AV212" s="9"/>
      <c r="AW212" s="9"/>
      <c r="AX212" s="9"/>
    </row>
    <row r="213" spans="1:50" ht="15.75" customHeight="1" outlineLevel="1" x14ac:dyDescent="0.2">
      <c r="A213" s="120"/>
      <c r="B213" s="24" t="s">
        <v>95</v>
      </c>
      <c r="C213" s="142">
        <v>0.4</v>
      </c>
      <c r="D213" s="344">
        <f t="shared" ref="D213:O213" si="174">-C211*$C213/12</f>
        <v>-2666.6666666666665</v>
      </c>
      <c r="E213" s="340">
        <f t="shared" si="174"/>
        <v>-2666.6666666666665</v>
      </c>
      <c r="F213" s="340">
        <f t="shared" si="174"/>
        <v>-2666.6666666666665</v>
      </c>
      <c r="G213" s="340">
        <f t="shared" si="174"/>
        <v>-2666.6666666666665</v>
      </c>
      <c r="H213" s="340">
        <f t="shared" si="174"/>
        <v>-2666.6666666666665</v>
      </c>
      <c r="I213" s="340">
        <f t="shared" si="174"/>
        <v>-2666.6666666666665</v>
      </c>
      <c r="J213" s="340">
        <f t="shared" si="174"/>
        <v>-2666.6666666666665</v>
      </c>
      <c r="K213" s="340">
        <f t="shared" si="174"/>
        <v>-2666.6666666666665</v>
      </c>
      <c r="L213" s="340">
        <f t="shared" si="174"/>
        <v>-2666.6666666666665</v>
      </c>
      <c r="M213" s="340">
        <f t="shared" si="174"/>
        <v>-2666.6666666666665</v>
      </c>
      <c r="N213" s="340">
        <f t="shared" si="174"/>
        <v>-2666.6666666666665</v>
      </c>
      <c r="O213" s="341">
        <f t="shared" si="174"/>
        <v>-2666.6666666666665</v>
      </c>
      <c r="P213" s="340"/>
      <c r="Q213" s="340"/>
      <c r="R213" s="340"/>
      <c r="S213" s="340"/>
      <c r="T213" s="342"/>
      <c r="U213" s="5"/>
      <c r="V213" s="5"/>
      <c r="W213" s="5"/>
      <c r="X213" s="5"/>
      <c r="Y213" s="5"/>
      <c r="Z213" s="5"/>
      <c r="AA213" s="264"/>
      <c r="AB213" s="5"/>
      <c r="AC213" s="5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9"/>
      <c r="AP213" s="9"/>
      <c r="AQ213" s="9"/>
      <c r="AR213" s="9"/>
      <c r="AS213" s="9"/>
      <c r="AT213" s="9"/>
      <c r="AU213" s="9"/>
      <c r="AV213" s="9"/>
      <c r="AW213" s="9"/>
      <c r="AX213" s="9"/>
    </row>
    <row r="214" spans="1:50" ht="15.75" customHeight="1" outlineLevel="1" x14ac:dyDescent="0.2">
      <c r="A214" s="120"/>
      <c r="B214" s="24" t="s">
        <v>96</v>
      </c>
      <c r="C214" s="160"/>
      <c r="D214" s="6">
        <v>0</v>
      </c>
      <c r="E214" s="6">
        <v>0</v>
      </c>
      <c r="F214" s="6">
        <v>0</v>
      </c>
      <c r="G214" s="6">
        <v>0</v>
      </c>
      <c r="H214" s="6">
        <v>0</v>
      </c>
      <c r="I214" s="6">
        <v>0</v>
      </c>
      <c r="J214" s="6">
        <v>0</v>
      </c>
      <c r="K214" s="6">
        <v>0</v>
      </c>
      <c r="L214" s="6">
        <v>0</v>
      </c>
      <c r="M214" s="6">
        <v>0</v>
      </c>
      <c r="N214" s="6">
        <v>0</v>
      </c>
      <c r="O214" s="321">
        <v>-80000</v>
      </c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321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8"/>
      <c r="AO214" s="9"/>
      <c r="AP214" s="9"/>
      <c r="AQ214" s="9"/>
      <c r="AR214" s="9"/>
      <c r="AS214" s="9"/>
      <c r="AT214" s="9"/>
      <c r="AU214" s="9"/>
      <c r="AV214" s="9"/>
      <c r="AW214" s="9"/>
      <c r="AX214" s="9"/>
    </row>
    <row r="215" spans="1:50" ht="15.75" customHeight="1" outlineLevel="1" x14ac:dyDescent="0.2">
      <c r="A215" s="120"/>
      <c r="B215" s="24" t="s">
        <v>97</v>
      </c>
      <c r="C215" s="160"/>
      <c r="D215" s="5">
        <f t="shared" ref="D215:O215" si="175">D211+D214</f>
        <v>80000</v>
      </c>
      <c r="E215" s="5">
        <f t="shared" si="175"/>
        <v>80000</v>
      </c>
      <c r="F215" s="5">
        <f t="shared" si="175"/>
        <v>80000</v>
      </c>
      <c r="G215" s="5">
        <f t="shared" si="175"/>
        <v>80000</v>
      </c>
      <c r="H215" s="5">
        <f t="shared" si="175"/>
        <v>80000</v>
      </c>
      <c r="I215" s="5">
        <f t="shared" si="175"/>
        <v>80000</v>
      </c>
      <c r="J215" s="5">
        <f t="shared" si="175"/>
        <v>80000</v>
      </c>
      <c r="K215" s="5">
        <f t="shared" si="175"/>
        <v>80000</v>
      </c>
      <c r="L215" s="5">
        <f t="shared" si="175"/>
        <v>80000</v>
      </c>
      <c r="M215" s="5">
        <f t="shared" si="175"/>
        <v>80000</v>
      </c>
      <c r="N215" s="5">
        <f t="shared" si="175"/>
        <v>80000</v>
      </c>
      <c r="O215" s="343">
        <f t="shared" si="175"/>
        <v>0</v>
      </c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264"/>
      <c r="AB215" s="5"/>
      <c r="AC215" s="5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8"/>
      <c r="AO215" s="9"/>
      <c r="AP215" s="9"/>
      <c r="AQ215" s="9"/>
      <c r="AR215" s="9"/>
      <c r="AS215" s="9"/>
      <c r="AT215" s="9"/>
      <c r="AU215" s="9"/>
      <c r="AV215" s="9"/>
      <c r="AW215" s="9"/>
      <c r="AX215" s="9"/>
    </row>
    <row r="216" spans="1:50" ht="15.75" customHeight="1" x14ac:dyDescent="0.2">
      <c r="A216" s="120"/>
      <c r="B216" s="152" t="s">
        <v>286</v>
      </c>
      <c r="C216" s="160"/>
      <c r="D216" s="185">
        <f>D218</f>
        <v>-1300000</v>
      </c>
      <c r="E216" s="183"/>
      <c r="F216" s="183"/>
      <c r="G216" s="183"/>
      <c r="H216" s="183"/>
      <c r="I216" s="183"/>
      <c r="J216" s="183"/>
      <c r="K216" s="183"/>
      <c r="L216" s="183"/>
      <c r="M216" s="183"/>
      <c r="N216" s="183"/>
      <c r="O216" s="345"/>
      <c r="P216" s="183"/>
      <c r="Q216" s="183"/>
      <c r="R216" s="183"/>
      <c r="S216" s="183"/>
      <c r="T216" s="183"/>
      <c r="U216" s="183"/>
      <c r="V216" s="183"/>
      <c r="W216" s="183"/>
      <c r="X216" s="183"/>
      <c r="Y216" s="183"/>
      <c r="Z216" s="183"/>
      <c r="AA216" s="345"/>
      <c r="AB216" s="183"/>
      <c r="AC216" s="183"/>
      <c r="AD216" s="183"/>
      <c r="AE216" s="183"/>
      <c r="AF216" s="183"/>
      <c r="AG216" s="183"/>
      <c r="AH216" s="183"/>
      <c r="AI216" s="183"/>
      <c r="AJ216" s="183"/>
      <c r="AK216" s="183"/>
      <c r="AL216" s="183"/>
      <c r="AM216" s="183"/>
      <c r="AN216" s="8"/>
      <c r="AO216" s="9"/>
      <c r="AP216" s="9"/>
      <c r="AQ216" s="9"/>
      <c r="AR216" s="9"/>
      <c r="AS216" s="9"/>
      <c r="AT216" s="9"/>
      <c r="AU216" s="9"/>
      <c r="AV216" s="9"/>
      <c r="AW216" s="9"/>
      <c r="AX216" s="9"/>
    </row>
    <row r="217" spans="1:50" ht="15.75" customHeight="1" outlineLevel="1" x14ac:dyDescent="0.2">
      <c r="A217" s="120"/>
      <c r="B217" s="24" t="s">
        <v>93</v>
      </c>
      <c r="C217" s="125">
        <v>1000000</v>
      </c>
      <c r="D217" s="6">
        <v>1000000</v>
      </c>
      <c r="E217" s="183"/>
      <c r="F217" s="183"/>
      <c r="G217" s="183"/>
      <c r="H217" s="183"/>
      <c r="I217" s="183"/>
      <c r="J217" s="183"/>
      <c r="K217" s="183"/>
      <c r="L217" s="183"/>
      <c r="M217" s="183"/>
      <c r="N217" s="183"/>
      <c r="O217" s="345"/>
      <c r="P217" s="183"/>
      <c r="Q217" s="183"/>
      <c r="R217" s="183"/>
      <c r="S217" s="183"/>
      <c r="T217" s="183"/>
      <c r="U217" s="183"/>
      <c r="V217" s="183"/>
      <c r="W217" s="183"/>
      <c r="X217" s="183"/>
      <c r="Y217" s="183"/>
      <c r="Z217" s="183"/>
      <c r="AA217" s="345"/>
      <c r="AB217" s="183"/>
      <c r="AC217" s="183"/>
      <c r="AD217" s="183"/>
      <c r="AE217" s="183"/>
      <c r="AF217" s="183"/>
      <c r="AG217" s="183"/>
      <c r="AH217" s="183"/>
      <c r="AI217" s="183"/>
      <c r="AJ217" s="183"/>
      <c r="AK217" s="183"/>
      <c r="AL217" s="183"/>
      <c r="AM217" s="183"/>
      <c r="AN217" s="8"/>
      <c r="AO217" s="9"/>
      <c r="AP217" s="9"/>
      <c r="AQ217" s="9"/>
      <c r="AR217" s="9"/>
      <c r="AS217" s="9"/>
      <c r="AT217" s="9"/>
      <c r="AU217" s="9"/>
      <c r="AV217" s="9"/>
      <c r="AW217" s="9"/>
      <c r="AX217" s="9"/>
    </row>
    <row r="218" spans="1:50" ht="15.75" customHeight="1" outlineLevel="1" x14ac:dyDescent="0.2">
      <c r="A218" s="120"/>
      <c r="B218" s="24" t="s">
        <v>94</v>
      </c>
      <c r="C218" s="249"/>
      <c r="D218" s="5">
        <f>D219+D220</f>
        <v>-1300000</v>
      </c>
      <c r="E218" s="183"/>
      <c r="F218" s="183"/>
      <c r="G218" s="183"/>
      <c r="H218" s="183"/>
      <c r="I218" s="183"/>
      <c r="J218" s="183"/>
      <c r="K218" s="183"/>
      <c r="L218" s="183"/>
      <c r="M218" s="183"/>
      <c r="N218" s="183"/>
      <c r="O218" s="345"/>
      <c r="P218" s="183"/>
      <c r="Q218" s="183"/>
      <c r="R218" s="183"/>
      <c r="S218" s="183"/>
      <c r="T218" s="183"/>
      <c r="U218" s="183"/>
      <c r="V218" s="183"/>
      <c r="W218" s="183"/>
      <c r="X218" s="183"/>
      <c r="Y218" s="183"/>
      <c r="Z218" s="183"/>
      <c r="AA218" s="345"/>
      <c r="AB218" s="183"/>
      <c r="AC218" s="183"/>
      <c r="AD218" s="183"/>
      <c r="AE218" s="183"/>
      <c r="AF218" s="183"/>
      <c r="AG218" s="183"/>
      <c r="AH218" s="183"/>
      <c r="AI218" s="183"/>
      <c r="AJ218" s="183"/>
      <c r="AK218" s="183"/>
      <c r="AL218" s="183"/>
      <c r="AM218" s="183"/>
      <c r="AN218" s="8"/>
      <c r="AO218" s="9"/>
      <c r="AP218" s="9"/>
      <c r="AQ218" s="9"/>
      <c r="AR218" s="9"/>
      <c r="AS218" s="9"/>
      <c r="AT218" s="9"/>
      <c r="AU218" s="9"/>
      <c r="AV218" s="9"/>
      <c r="AW218" s="9"/>
      <c r="AX218" s="9"/>
    </row>
    <row r="219" spans="1:50" ht="15.75" customHeight="1" outlineLevel="1" x14ac:dyDescent="0.2">
      <c r="A219" s="120"/>
      <c r="B219" s="24" t="s">
        <v>95</v>
      </c>
      <c r="C219" s="142">
        <v>0.3</v>
      </c>
      <c r="D219" s="6">
        <v>-300000</v>
      </c>
      <c r="E219" s="183"/>
      <c r="F219" s="183"/>
      <c r="G219" s="183"/>
      <c r="H219" s="183"/>
      <c r="I219" s="183"/>
      <c r="J219" s="183"/>
      <c r="K219" s="183"/>
      <c r="L219" s="183"/>
      <c r="M219" s="183"/>
      <c r="N219" s="183"/>
      <c r="O219" s="345"/>
      <c r="P219" s="183"/>
      <c r="Q219" s="183"/>
      <c r="R219" s="183"/>
      <c r="S219" s="183"/>
      <c r="T219" s="183"/>
      <c r="U219" s="183"/>
      <c r="V219" s="183"/>
      <c r="W219" s="183"/>
      <c r="X219" s="183"/>
      <c r="Y219" s="183"/>
      <c r="Z219" s="183"/>
      <c r="AA219" s="345"/>
      <c r="AB219" s="183"/>
      <c r="AC219" s="183"/>
      <c r="AD219" s="183"/>
      <c r="AE219" s="183"/>
      <c r="AF219" s="183"/>
      <c r="AG219" s="183"/>
      <c r="AH219" s="183"/>
      <c r="AI219" s="183"/>
      <c r="AJ219" s="183"/>
      <c r="AK219" s="183"/>
      <c r="AL219" s="183"/>
      <c r="AM219" s="183"/>
      <c r="AN219" s="8"/>
      <c r="AO219" s="9"/>
      <c r="AP219" s="9"/>
      <c r="AQ219" s="9"/>
      <c r="AR219" s="9"/>
      <c r="AS219" s="9"/>
      <c r="AT219" s="9"/>
      <c r="AU219" s="9"/>
      <c r="AV219" s="9"/>
      <c r="AW219" s="9"/>
      <c r="AX219" s="9"/>
    </row>
    <row r="220" spans="1:50" ht="15.75" customHeight="1" outlineLevel="1" x14ac:dyDescent="0.2">
      <c r="A220" s="120"/>
      <c r="B220" s="24" t="s">
        <v>96</v>
      </c>
      <c r="C220" s="160"/>
      <c r="D220" s="6">
        <v>-1000000</v>
      </c>
      <c r="E220" s="183"/>
      <c r="F220" s="183"/>
      <c r="G220" s="183"/>
      <c r="H220" s="183"/>
      <c r="I220" s="183"/>
      <c r="J220" s="183"/>
      <c r="K220" s="183"/>
      <c r="L220" s="183"/>
      <c r="M220" s="183"/>
      <c r="N220" s="183"/>
      <c r="O220" s="345"/>
      <c r="P220" s="183"/>
      <c r="Q220" s="183"/>
      <c r="R220" s="183"/>
      <c r="S220" s="183"/>
      <c r="T220" s="183"/>
      <c r="U220" s="183"/>
      <c r="V220" s="183"/>
      <c r="W220" s="183"/>
      <c r="X220" s="183"/>
      <c r="Y220" s="183"/>
      <c r="Z220" s="183"/>
      <c r="AA220" s="345"/>
      <c r="AB220" s="183"/>
      <c r="AC220" s="183"/>
      <c r="AD220" s="183"/>
      <c r="AE220" s="183"/>
      <c r="AF220" s="183"/>
      <c r="AG220" s="183"/>
      <c r="AH220" s="183"/>
      <c r="AI220" s="183"/>
      <c r="AJ220" s="183"/>
      <c r="AK220" s="183"/>
      <c r="AL220" s="183"/>
      <c r="AM220" s="183"/>
      <c r="AN220" s="8"/>
      <c r="AO220" s="9"/>
      <c r="AP220" s="9"/>
      <c r="AQ220" s="9"/>
      <c r="AR220" s="9"/>
      <c r="AS220" s="9"/>
      <c r="AT220" s="9"/>
      <c r="AU220" s="9"/>
      <c r="AV220" s="9"/>
      <c r="AW220" s="9"/>
      <c r="AX220" s="9"/>
    </row>
    <row r="221" spans="1:50" ht="15.75" customHeight="1" outlineLevel="1" x14ac:dyDescent="0.2">
      <c r="A221" s="120"/>
      <c r="B221" s="24" t="s">
        <v>97</v>
      </c>
      <c r="C221" s="160"/>
      <c r="D221" s="5">
        <f>D217+D220</f>
        <v>0</v>
      </c>
      <c r="E221" s="183"/>
      <c r="F221" s="183"/>
      <c r="G221" s="183"/>
      <c r="H221" s="183"/>
      <c r="I221" s="183"/>
      <c r="J221" s="183"/>
      <c r="K221" s="183"/>
      <c r="L221" s="183"/>
      <c r="M221" s="183"/>
      <c r="N221" s="183"/>
      <c r="O221" s="345"/>
      <c r="P221" s="183"/>
      <c r="Q221" s="183"/>
      <c r="R221" s="183"/>
      <c r="S221" s="183"/>
      <c r="T221" s="183"/>
      <c r="U221" s="183"/>
      <c r="V221" s="183"/>
      <c r="W221" s="183"/>
      <c r="X221" s="183"/>
      <c r="Y221" s="183"/>
      <c r="Z221" s="183"/>
      <c r="AA221" s="345"/>
      <c r="AB221" s="183"/>
      <c r="AC221" s="183"/>
      <c r="AD221" s="183"/>
      <c r="AE221" s="183"/>
      <c r="AF221" s="183"/>
      <c r="AG221" s="183"/>
      <c r="AH221" s="183"/>
      <c r="AI221" s="183"/>
      <c r="AJ221" s="183"/>
      <c r="AK221" s="183"/>
      <c r="AL221" s="183"/>
      <c r="AM221" s="183"/>
      <c r="AN221" s="8"/>
      <c r="AO221" s="9"/>
      <c r="AP221" s="9"/>
      <c r="AQ221" s="9"/>
      <c r="AR221" s="9"/>
      <c r="AS221" s="9"/>
      <c r="AT221" s="9"/>
      <c r="AU221" s="9"/>
      <c r="AV221" s="9"/>
      <c r="AW221" s="9"/>
      <c r="AX221" s="9"/>
    </row>
    <row r="222" spans="1:50" ht="15.75" customHeight="1" x14ac:dyDescent="0.2">
      <c r="A222" s="120"/>
      <c r="B222" s="152" t="s">
        <v>287</v>
      </c>
      <c r="C222" s="160"/>
      <c r="D222" s="5"/>
      <c r="E222" s="183">
        <f t="shared" ref="E222:O222" si="176">E224</f>
        <v>-3333.3333333333335</v>
      </c>
      <c r="F222" s="183">
        <f t="shared" si="176"/>
        <v>-3333.3333333333335</v>
      </c>
      <c r="G222" s="183">
        <f t="shared" si="176"/>
        <v>-3333.3333333333335</v>
      </c>
      <c r="H222" s="183">
        <f t="shared" si="176"/>
        <v>-3333.3333333333335</v>
      </c>
      <c r="I222" s="183">
        <f t="shared" si="176"/>
        <v>-3333.3333333333335</v>
      </c>
      <c r="J222" s="183">
        <f t="shared" si="176"/>
        <v>-3333.3333333333335</v>
      </c>
      <c r="K222" s="183">
        <f t="shared" si="176"/>
        <v>-3333.3333333333335</v>
      </c>
      <c r="L222" s="183">
        <f t="shared" si="176"/>
        <v>-3333.3333333333335</v>
      </c>
      <c r="M222" s="183">
        <f t="shared" si="176"/>
        <v>-3333.3333333333335</v>
      </c>
      <c r="N222" s="183">
        <f t="shared" si="176"/>
        <v>-3333.3333333333335</v>
      </c>
      <c r="O222" s="345">
        <f t="shared" si="176"/>
        <v>-203333.33333333334</v>
      </c>
      <c r="P222" s="183"/>
      <c r="Q222" s="183"/>
      <c r="R222" s="183"/>
      <c r="S222" s="183"/>
      <c r="T222" s="183"/>
      <c r="U222" s="183"/>
      <c r="V222" s="183"/>
      <c r="W222" s="183"/>
      <c r="X222" s="183"/>
      <c r="Y222" s="183"/>
      <c r="Z222" s="183"/>
      <c r="AA222" s="345"/>
      <c r="AB222" s="183"/>
      <c r="AC222" s="183"/>
      <c r="AD222" s="183"/>
      <c r="AE222" s="183"/>
      <c r="AF222" s="183"/>
      <c r="AG222" s="183"/>
      <c r="AH222" s="183"/>
      <c r="AI222" s="183"/>
      <c r="AJ222" s="183"/>
      <c r="AK222" s="183"/>
      <c r="AL222" s="183"/>
      <c r="AM222" s="183"/>
      <c r="AN222" s="8"/>
      <c r="AO222" s="9"/>
      <c r="AP222" s="9"/>
      <c r="AQ222" s="9"/>
      <c r="AR222" s="9"/>
      <c r="AS222" s="9"/>
      <c r="AT222" s="9"/>
      <c r="AU222" s="9"/>
      <c r="AV222" s="9"/>
      <c r="AW222" s="9"/>
      <c r="AX222" s="9"/>
    </row>
    <row r="223" spans="1:50" ht="15.75" customHeight="1" outlineLevel="1" x14ac:dyDescent="0.2">
      <c r="A223" s="120"/>
      <c r="B223" s="24" t="s">
        <v>93</v>
      </c>
      <c r="C223" s="125">
        <v>200000</v>
      </c>
      <c r="D223" s="5"/>
      <c r="E223" s="6">
        <v>200000</v>
      </c>
      <c r="F223" s="6">
        <v>200000</v>
      </c>
      <c r="G223" s="6">
        <v>200000</v>
      </c>
      <c r="H223" s="6">
        <v>200000</v>
      </c>
      <c r="I223" s="6">
        <v>200000</v>
      </c>
      <c r="J223" s="6">
        <v>200000</v>
      </c>
      <c r="K223" s="6">
        <v>200000</v>
      </c>
      <c r="L223" s="6">
        <v>200000</v>
      </c>
      <c r="M223" s="6">
        <v>200000</v>
      </c>
      <c r="N223" s="6">
        <v>200000</v>
      </c>
      <c r="O223" s="321">
        <v>200000</v>
      </c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321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8"/>
      <c r="AO223" s="9"/>
      <c r="AP223" s="9"/>
      <c r="AQ223" s="9"/>
      <c r="AR223" s="9"/>
      <c r="AS223" s="9"/>
      <c r="AT223" s="9"/>
      <c r="AU223" s="9"/>
      <c r="AV223" s="9"/>
      <c r="AW223" s="9"/>
      <c r="AX223" s="9"/>
    </row>
    <row r="224" spans="1:50" ht="15.75" customHeight="1" outlineLevel="1" x14ac:dyDescent="0.2">
      <c r="A224" s="120"/>
      <c r="B224" s="24" t="s">
        <v>94</v>
      </c>
      <c r="C224" s="249"/>
      <c r="D224" s="344"/>
      <c r="E224" s="340">
        <f t="shared" ref="E224:O224" si="177">E225+E226</f>
        <v>-3333.3333333333335</v>
      </c>
      <c r="F224" s="340">
        <f t="shared" si="177"/>
        <v>-3333.3333333333335</v>
      </c>
      <c r="G224" s="340">
        <f t="shared" si="177"/>
        <v>-3333.3333333333335</v>
      </c>
      <c r="H224" s="340">
        <f t="shared" si="177"/>
        <v>-3333.3333333333335</v>
      </c>
      <c r="I224" s="340">
        <f t="shared" si="177"/>
        <v>-3333.3333333333335</v>
      </c>
      <c r="J224" s="340">
        <f t="shared" si="177"/>
        <v>-3333.3333333333335</v>
      </c>
      <c r="K224" s="340">
        <f t="shared" si="177"/>
        <v>-3333.3333333333335</v>
      </c>
      <c r="L224" s="340">
        <f t="shared" si="177"/>
        <v>-3333.3333333333335</v>
      </c>
      <c r="M224" s="340">
        <f t="shared" si="177"/>
        <v>-3333.3333333333335</v>
      </c>
      <c r="N224" s="340">
        <f t="shared" si="177"/>
        <v>-3333.3333333333335</v>
      </c>
      <c r="O224" s="341">
        <f t="shared" si="177"/>
        <v>-203333.33333333334</v>
      </c>
      <c r="P224" s="340"/>
      <c r="Q224" s="340"/>
      <c r="R224" s="340"/>
      <c r="S224" s="340"/>
      <c r="T224" s="342"/>
      <c r="U224" s="5"/>
      <c r="V224" s="5"/>
      <c r="W224" s="5"/>
      <c r="X224" s="5"/>
      <c r="Y224" s="5"/>
      <c r="Z224" s="5"/>
      <c r="AA224" s="264"/>
      <c r="AB224" s="5"/>
      <c r="AC224" s="5"/>
      <c r="AD224" s="5"/>
      <c r="AE224" s="5"/>
      <c r="AF224" s="5"/>
      <c r="AG224" s="5"/>
      <c r="AH224" s="5"/>
      <c r="AI224" s="5"/>
      <c r="AJ224" s="5"/>
      <c r="AK224" s="5"/>
      <c r="AL224" s="5"/>
      <c r="AM224" s="5"/>
      <c r="AN224" s="5"/>
      <c r="AO224" s="9"/>
      <c r="AP224" s="9"/>
      <c r="AQ224" s="9"/>
      <c r="AR224" s="9"/>
      <c r="AS224" s="9"/>
      <c r="AT224" s="9"/>
      <c r="AU224" s="9"/>
      <c r="AV224" s="9"/>
      <c r="AW224" s="9"/>
      <c r="AX224" s="9"/>
    </row>
    <row r="225" spans="1:50" ht="15.75" customHeight="1" outlineLevel="1" x14ac:dyDescent="0.2">
      <c r="A225" s="120"/>
      <c r="B225" s="24" t="s">
        <v>95</v>
      </c>
      <c r="C225" s="142">
        <v>0.4</v>
      </c>
      <c r="D225" s="5"/>
      <c r="E225" s="5">
        <f t="shared" ref="E225:O225" si="178">-E223*$C225/12/2</f>
        <v>-3333.3333333333335</v>
      </c>
      <c r="F225" s="5">
        <f t="shared" si="178"/>
        <v>-3333.3333333333335</v>
      </c>
      <c r="G225" s="5">
        <f t="shared" si="178"/>
        <v>-3333.3333333333335</v>
      </c>
      <c r="H225" s="5">
        <f t="shared" si="178"/>
        <v>-3333.3333333333335</v>
      </c>
      <c r="I225" s="5">
        <f t="shared" si="178"/>
        <v>-3333.3333333333335</v>
      </c>
      <c r="J225" s="5">
        <f t="shared" si="178"/>
        <v>-3333.3333333333335</v>
      </c>
      <c r="K225" s="5">
        <f t="shared" si="178"/>
        <v>-3333.3333333333335</v>
      </c>
      <c r="L225" s="5">
        <f t="shared" si="178"/>
        <v>-3333.3333333333335</v>
      </c>
      <c r="M225" s="5">
        <f t="shared" si="178"/>
        <v>-3333.3333333333335</v>
      </c>
      <c r="N225" s="5">
        <f t="shared" si="178"/>
        <v>-3333.3333333333335</v>
      </c>
      <c r="O225" s="264">
        <f t="shared" si="178"/>
        <v>-3333.3333333333335</v>
      </c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264"/>
      <c r="AB225" s="5"/>
      <c r="AC225" s="5"/>
      <c r="AD225" s="5"/>
      <c r="AE225" s="5"/>
      <c r="AF225" s="5"/>
      <c r="AG225" s="5"/>
      <c r="AH225" s="5"/>
      <c r="AI225" s="5"/>
      <c r="AJ225" s="5"/>
      <c r="AK225" s="5"/>
      <c r="AL225" s="5"/>
      <c r="AM225" s="5"/>
      <c r="AN225" s="8"/>
      <c r="AO225" s="9"/>
      <c r="AP225" s="9"/>
      <c r="AQ225" s="9"/>
      <c r="AR225" s="9"/>
      <c r="AS225" s="9"/>
      <c r="AT225" s="9"/>
      <c r="AU225" s="9"/>
      <c r="AV225" s="9"/>
      <c r="AW225" s="9"/>
      <c r="AX225" s="9"/>
    </row>
    <row r="226" spans="1:50" ht="15.75" customHeight="1" outlineLevel="1" x14ac:dyDescent="0.2">
      <c r="A226" s="120"/>
      <c r="B226" s="24" t="s">
        <v>96</v>
      </c>
      <c r="C226" s="160"/>
      <c r="D226" s="5"/>
      <c r="E226" s="6">
        <v>0</v>
      </c>
      <c r="F226" s="6">
        <v>0</v>
      </c>
      <c r="G226" s="6">
        <v>0</v>
      </c>
      <c r="H226" s="6">
        <v>0</v>
      </c>
      <c r="I226" s="6">
        <v>0</v>
      </c>
      <c r="J226" s="6">
        <v>0</v>
      </c>
      <c r="K226" s="6">
        <v>0</v>
      </c>
      <c r="L226" s="6">
        <v>0</v>
      </c>
      <c r="M226" s="6">
        <v>0</v>
      </c>
      <c r="N226" s="6">
        <v>0</v>
      </c>
      <c r="O226" s="321">
        <v>-200000</v>
      </c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321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8"/>
      <c r="AO226" s="9"/>
      <c r="AP226" s="9"/>
      <c r="AQ226" s="9"/>
      <c r="AR226" s="9"/>
      <c r="AS226" s="9"/>
      <c r="AT226" s="9"/>
      <c r="AU226" s="9"/>
      <c r="AV226" s="9"/>
      <c r="AW226" s="9"/>
      <c r="AX226" s="9"/>
    </row>
    <row r="227" spans="1:50" ht="15.75" customHeight="1" outlineLevel="1" x14ac:dyDescent="0.2">
      <c r="A227" s="120"/>
      <c r="B227" s="24" t="s">
        <v>97</v>
      </c>
      <c r="C227" s="160"/>
      <c r="D227" s="5"/>
      <c r="E227" s="5">
        <f t="shared" ref="E227:O227" si="179">E223+E226</f>
        <v>200000</v>
      </c>
      <c r="F227" s="5">
        <f t="shared" si="179"/>
        <v>200000</v>
      </c>
      <c r="G227" s="5">
        <f t="shared" si="179"/>
        <v>200000</v>
      </c>
      <c r="H227" s="5">
        <f t="shared" si="179"/>
        <v>200000</v>
      </c>
      <c r="I227" s="5">
        <f t="shared" si="179"/>
        <v>200000</v>
      </c>
      <c r="J227" s="5">
        <f t="shared" si="179"/>
        <v>200000</v>
      </c>
      <c r="K227" s="5">
        <f t="shared" si="179"/>
        <v>200000</v>
      </c>
      <c r="L227" s="5">
        <f t="shared" si="179"/>
        <v>200000</v>
      </c>
      <c r="M227" s="5">
        <f t="shared" si="179"/>
        <v>200000</v>
      </c>
      <c r="N227" s="5">
        <f t="shared" si="179"/>
        <v>200000</v>
      </c>
      <c r="O227" s="343">
        <f t="shared" si="179"/>
        <v>0</v>
      </c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264"/>
      <c r="AB227" s="5"/>
      <c r="AC227" s="5"/>
      <c r="AD227" s="5"/>
      <c r="AE227" s="5"/>
      <c r="AF227" s="5"/>
      <c r="AG227" s="5"/>
      <c r="AH227" s="5"/>
      <c r="AI227" s="5"/>
      <c r="AJ227" s="5"/>
      <c r="AK227" s="5"/>
      <c r="AL227" s="5"/>
      <c r="AM227" s="5"/>
      <c r="AN227" s="8"/>
      <c r="AO227" s="9"/>
      <c r="AP227" s="9"/>
      <c r="AQ227" s="9"/>
      <c r="AR227" s="9"/>
      <c r="AS227" s="9"/>
      <c r="AT227" s="9"/>
      <c r="AU227" s="9"/>
      <c r="AV227" s="9"/>
      <c r="AW227" s="9"/>
      <c r="AX227" s="9"/>
    </row>
    <row r="228" spans="1:50" ht="15.75" customHeight="1" x14ac:dyDescent="0.2">
      <c r="A228" s="120"/>
      <c r="B228" s="152" t="s">
        <v>288</v>
      </c>
      <c r="C228" s="160"/>
      <c r="D228" s="185">
        <f t="shared" ref="D228:O228" si="180">D231+D232</f>
        <v>-2900</v>
      </c>
      <c r="E228" s="185">
        <f t="shared" si="180"/>
        <v>-63310</v>
      </c>
      <c r="F228" s="185">
        <f t="shared" si="180"/>
        <v>-21000</v>
      </c>
      <c r="G228" s="185">
        <f t="shared" si="180"/>
        <v>-21000</v>
      </c>
      <c r="H228" s="185">
        <f t="shared" si="180"/>
        <v>-421000</v>
      </c>
      <c r="I228" s="185">
        <f t="shared" si="180"/>
        <v>0</v>
      </c>
      <c r="J228" s="185">
        <f t="shared" si="180"/>
        <v>0</v>
      </c>
      <c r="K228" s="185">
        <f t="shared" si="180"/>
        <v>0</v>
      </c>
      <c r="L228" s="185">
        <f t="shared" si="180"/>
        <v>0</v>
      </c>
      <c r="M228" s="185">
        <f t="shared" si="180"/>
        <v>0</v>
      </c>
      <c r="N228" s="185">
        <f t="shared" si="180"/>
        <v>0</v>
      </c>
      <c r="O228" s="339">
        <f t="shared" si="180"/>
        <v>0</v>
      </c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264"/>
      <c r="AB228" s="5"/>
      <c r="AC228" s="5"/>
      <c r="AD228" s="5"/>
      <c r="AE228" s="5"/>
      <c r="AF228" s="5"/>
      <c r="AG228" s="5"/>
      <c r="AH228" s="5"/>
      <c r="AI228" s="5"/>
      <c r="AJ228" s="5"/>
      <c r="AK228" s="5"/>
      <c r="AL228" s="5"/>
      <c r="AM228" s="5"/>
      <c r="AN228" s="8"/>
      <c r="AO228" s="9"/>
      <c r="AP228" s="9"/>
      <c r="AQ228" s="9"/>
      <c r="AR228" s="9"/>
      <c r="AS228" s="9"/>
      <c r="AT228" s="9"/>
      <c r="AU228" s="9"/>
      <c r="AV228" s="9"/>
      <c r="AW228" s="9"/>
      <c r="AX228" s="9"/>
    </row>
    <row r="229" spans="1:50" ht="15.75" customHeight="1" x14ac:dyDescent="0.2">
      <c r="A229" s="120"/>
      <c r="B229" s="24" t="s">
        <v>93</v>
      </c>
      <c r="C229" s="125">
        <v>400000</v>
      </c>
      <c r="D229" s="6">
        <v>400000</v>
      </c>
      <c r="E229" s="5">
        <f t="shared" ref="E229:H229" si="181">D233</f>
        <v>400000</v>
      </c>
      <c r="F229" s="5">
        <f t="shared" si="181"/>
        <v>400000</v>
      </c>
      <c r="G229" s="5">
        <f t="shared" si="181"/>
        <v>400000</v>
      </c>
      <c r="H229" s="5">
        <f t="shared" si="181"/>
        <v>400000</v>
      </c>
      <c r="I229" s="5"/>
      <c r="J229" s="5"/>
      <c r="K229" s="5"/>
      <c r="L229" s="5"/>
      <c r="M229" s="5"/>
      <c r="N229" s="5"/>
      <c r="O229" s="264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264"/>
      <c r="AB229" s="5"/>
      <c r="AC229" s="5"/>
      <c r="AD229" s="5"/>
      <c r="AE229" s="5"/>
      <c r="AF229" s="5"/>
      <c r="AG229" s="5"/>
      <c r="AH229" s="5"/>
      <c r="AI229" s="5"/>
      <c r="AJ229" s="5"/>
      <c r="AK229" s="5"/>
      <c r="AL229" s="5"/>
      <c r="AM229" s="5"/>
      <c r="AN229" s="8"/>
      <c r="AO229" s="9"/>
      <c r="AP229" s="9"/>
      <c r="AQ229" s="9"/>
      <c r="AR229" s="9"/>
      <c r="AS229" s="9"/>
      <c r="AT229" s="9"/>
      <c r="AU229" s="9"/>
      <c r="AV229" s="9"/>
      <c r="AW229" s="9"/>
      <c r="AX229" s="9"/>
    </row>
    <row r="230" spans="1:50" ht="15.75" customHeight="1" x14ac:dyDescent="0.2">
      <c r="A230" s="120"/>
      <c r="B230" s="24" t="s">
        <v>94</v>
      </c>
      <c r="C230" s="249"/>
      <c r="D230" s="6">
        <f t="shared" ref="D230:H230" si="182">D231+D232</f>
        <v>-2900</v>
      </c>
      <c r="E230" s="6">
        <f t="shared" si="182"/>
        <v>-63310</v>
      </c>
      <c r="F230" s="6">
        <f t="shared" si="182"/>
        <v>-21000</v>
      </c>
      <c r="G230" s="6">
        <f t="shared" si="182"/>
        <v>-21000</v>
      </c>
      <c r="H230" s="6">
        <f t="shared" si="182"/>
        <v>-421000</v>
      </c>
      <c r="I230" s="5"/>
      <c r="J230" s="5"/>
      <c r="K230" s="5"/>
      <c r="L230" s="5"/>
      <c r="M230" s="5"/>
      <c r="N230" s="5"/>
      <c r="O230" s="264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264"/>
      <c r="AB230" s="5"/>
      <c r="AC230" s="5"/>
      <c r="AD230" s="5"/>
      <c r="AE230" s="5"/>
      <c r="AF230" s="5"/>
      <c r="AG230" s="5"/>
      <c r="AH230" s="5"/>
      <c r="AI230" s="5"/>
      <c r="AJ230" s="5"/>
      <c r="AK230" s="5"/>
      <c r="AL230" s="5"/>
      <c r="AM230" s="5"/>
      <c r="AN230" s="8"/>
      <c r="AO230" s="9"/>
      <c r="AP230" s="9"/>
      <c r="AQ230" s="9"/>
      <c r="AR230" s="9"/>
      <c r="AS230" s="9"/>
      <c r="AT230" s="9"/>
      <c r="AU230" s="9"/>
      <c r="AV230" s="9"/>
      <c r="AW230" s="9"/>
      <c r="AX230" s="9"/>
    </row>
    <row r="231" spans="1:50" ht="15.75" customHeight="1" x14ac:dyDescent="0.2">
      <c r="A231" s="120"/>
      <c r="B231" s="24" t="s">
        <v>95</v>
      </c>
      <c r="C231" s="142">
        <v>0.63</v>
      </c>
      <c r="D231" s="330">
        <v>-2900</v>
      </c>
      <c r="E231" s="331">
        <v>-63310</v>
      </c>
      <c r="F231" s="331">
        <v>-21000</v>
      </c>
      <c r="G231" s="331">
        <v>-21000</v>
      </c>
      <c r="H231" s="331">
        <v>-21000</v>
      </c>
      <c r="I231" s="340"/>
      <c r="J231" s="340"/>
      <c r="K231" s="340"/>
      <c r="L231" s="340"/>
      <c r="M231" s="340"/>
      <c r="N231" s="340"/>
      <c r="O231" s="341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264"/>
      <c r="AB231" s="5"/>
      <c r="AC231" s="5"/>
      <c r="AD231" s="5"/>
      <c r="AE231" s="5"/>
      <c r="AF231" s="5"/>
      <c r="AG231" s="5"/>
      <c r="AH231" s="5"/>
      <c r="AI231" s="5"/>
      <c r="AJ231" s="5"/>
      <c r="AK231" s="5"/>
      <c r="AL231" s="5"/>
      <c r="AM231" s="5"/>
      <c r="AN231" s="8"/>
      <c r="AO231" s="9"/>
      <c r="AP231" s="9"/>
      <c r="AQ231" s="9"/>
      <c r="AR231" s="9"/>
      <c r="AS231" s="9"/>
      <c r="AT231" s="9"/>
      <c r="AU231" s="9"/>
      <c r="AV231" s="9"/>
      <c r="AW231" s="9"/>
      <c r="AX231" s="9"/>
    </row>
    <row r="232" spans="1:50" ht="15.75" customHeight="1" x14ac:dyDescent="0.2">
      <c r="A232" s="120"/>
      <c r="B232" s="24" t="s">
        <v>96</v>
      </c>
      <c r="C232" s="160"/>
      <c r="D232" s="6">
        <v>0</v>
      </c>
      <c r="E232" s="6">
        <v>0</v>
      </c>
      <c r="F232" s="6">
        <v>0</v>
      </c>
      <c r="G232" s="6">
        <v>0</v>
      </c>
      <c r="H232" s="6">
        <v>-400000</v>
      </c>
      <c r="I232" s="5"/>
      <c r="J232" s="5"/>
      <c r="K232" s="5"/>
      <c r="L232" s="5"/>
      <c r="M232" s="5"/>
      <c r="N232" s="5"/>
      <c r="O232" s="264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264"/>
      <c r="AB232" s="5"/>
      <c r="AC232" s="5"/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8"/>
      <c r="AO232" s="9"/>
      <c r="AP232" s="9"/>
      <c r="AQ232" s="9"/>
      <c r="AR232" s="9"/>
      <c r="AS232" s="9"/>
      <c r="AT232" s="9"/>
      <c r="AU232" s="9"/>
      <c r="AV232" s="9"/>
      <c r="AW232" s="9"/>
      <c r="AX232" s="9"/>
    </row>
    <row r="233" spans="1:50" ht="15.75" customHeight="1" x14ac:dyDescent="0.2">
      <c r="A233" s="120"/>
      <c r="B233" s="24" t="s">
        <v>97</v>
      </c>
      <c r="C233" s="160"/>
      <c r="D233" s="5">
        <f t="shared" ref="D233:G233" si="183">D229-D232</f>
        <v>400000</v>
      </c>
      <c r="E233" s="5">
        <f t="shared" si="183"/>
        <v>400000</v>
      </c>
      <c r="F233" s="5">
        <f t="shared" si="183"/>
        <v>400000</v>
      </c>
      <c r="G233" s="5">
        <f t="shared" si="183"/>
        <v>400000</v>
      </c>
      <c r="H233" s="333">
        <f>H229+H232</f>
        <v>0</v>
      </c>
      <c r="I233" s="5"/>
      <c r="J233" s="5"/>
      <c r="K233" s="5"/>
      <c r="L233" s="5"/>
      <c r="M233" s="5"/>
      <c r="N233" s="5"/>
      <c r="O233" s="264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264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8"/>
      <c r="AO233" s="9"/>
      <c r="AP233" s="9"/>
      <c r="AQ233" s="9"/>
      <c r="AR233" s="9"/>
      <c r="AS233" s="9"/>
      <c r="AT233" s="9"/>
      <c r="AU233" s="9"/>
      <c r="AV233" s="9"/>
      <c r="AW233" s="9"/>
      <c r="AX233" s="9"/>
    </row>
    <row r="234" spans="1:50" ht="15.75" customHeight="1" x14ac:dyDescent="0.2">
      <c r="A234" s="260"/>
      <c r="B234" s="152" t="s">
        <v>289</v>
      </c>
      <c r="C234" s="346"/>
      <c r="D234" s="185">
        <f t="shared" ref="D234:G234" si="184">D236+D237</f>
        <v>0</v>
      </c>
      <c r="E234" s="185">
        <f t="shared" si="184"/>
        <v>0</v>
      </c>
      <c r="F234" s="185">
        <f t="shared" si="184"/>
        <v>0</v>
      </c>
      <c r="G234" s="185">
        <f t="shared" si="184"/>
        <v>0</v>
      </c>
      <c r="H234" s="185">
        <f t="shared" ref="H234:Y234" si="185">H239+H240</f>
        <v>-146250.26999999999</v>
      </c>
      <c r="I234" s="185">
        <f t="shared" si="185"/>
        <v>-146250.26999999999</v>
      </c>
      <c r="J234" s="185">
        <f t="shared" si="185"/>
        <v>-146250.26999999999</v>
      </c>
      <c r="K234" s="185">
        <f t="shared" si="185"/>
        <v>-146250.27000000002</v>
      </c>
      <c r="L234" s="185">
        <f t="shared" si="185"/>
        <v>-146250.27000000002</v>
      </c>
      <c r="M234" s="185">
        <f t="shared" si="185"/>
        <v>-146250.26999999999</v>
      </c>
      <c r="N234" s="185">
        <f t="shared" si="185"/>
        <v>-146250.27000000002</v>
      </c>
      <c r="O234" s="339">
        <f t="shared" si="185"/>
        <v>-146250.26999999999</v>
      </c>
      <c r="P234" s="185">
        <f t="shared" si="185"/>
        <v>-146251.19</v>
      </c>
      <c r="Q234" s="185">
        <f t="shared" si="185"/>
        <v>-146250.26999999999</v>
      </c>
      <c r="R234" s="185">
        <f t="shared" si="185"/>
        <v>-146250.27000000002</v>
      </c>
      <c r="S234" s="185">
        <f t="shared" si="185"/>
        <v>-146250.27000000002</v>
      </c>
      <c r="T234" s="185">
        <f t="shared" si="185"/>
        <v>-146249.57999999999</v>
      </c>
      <c r="U234" s="185">
        <f t="shared" si="185"/>
        <v>-146250.27000000002</v>
      </c>
      <c r="V234" s="185">
        <f t="shared" si="185"/>
        <v>-146250.26999999999</v>
      </c>
      <c r="W234" s="185">
        <f t="shared" si="185"/>
        <v>-146250.26999999999</v>
      </c>
      <c r="X234" s="185">
        <f t="shared" si="185"/>
        <v>-146250.26999999999</v>
      </c>
      <c r="Y234" s="185">
        <f t="shared" si="185"/>
        <v>-140346.86000000002</v>
      </c>
      <c r="Z234" s="185"/>
      <c r="AA234" s="339"/>
      <c r="AB234" s="185"/>
      <c r="AC234" s="185"/>
      <c r="AD234" s="185"/>
      <c r="AE234" s="185"/>
      <c r="AF234" s="185"/>
      <c r="AG234" s="185"/>
      <c r="AH234" s="185"/>
      <c r="AI234" s="185"/>
      <c r="AJ234" s="185"/>
      <c r="AK234" s="185"/>
      <c r="AL234" s="185"/>
      <c r="AM234" s="185"/>
      <c r="AN234" s="259"/>
      <c r="AO234" s="204"/>
      <c r="AP234" s="204"/>
      <c r="AQ234" s="204"/>
      <c r="AR234" s="204"/>
      <c r="AS234" s="204"/>
      <c r="AT234" s="204"/>
      <c r="AU234" s="204"/>
      <c r="AV234" s="204"/>
      <c r="AW234" s="204"/>
      <c r="AX234" s="204"/>
    </row>
    <row r="235" spans="1:50" ht="15.75" customHeight="1" x14ac:dyDescent="0.2">
      <c r="A235" s="120"/>
      <c r="B235" s="24" t="s">
        <v>93</v>
      </c>
      <c r="C235" s="125">
        <v>1990000</v>
      </c>
      <c r="D235" s="5"/>
      <c r="E235" s="5"/>
      <c r="F235" s="5"/>
      <c r="G235" s="6">
        <v>1990000</v>
      </c>
      <c r="H235" s="6">
        <f t="shared" ref="H235:AA235" si="186">G241</f>
        <v>1990000</v>
      </c>
      <c r="I235" s="6">
        <f t="shared" si="186"/>
        <v>1960868.59</v>
      </c>
      <c r="J235" s="6">
        <f t="shared" si="186"/>
        <v>1930022.6900000002</v>
      </c>
      <c r="K235" s="6">
        <f t="shared" si="186"/>
        <v>1897361.3900000001</v>
      </c>
      <c r="L235" s="6">
        <f t="shared" si="186"/>
        <v>1786028.81</v>
      </c>
      <c r="M235" s="6">
        <f t="shared" si="186"/>
        <v>1672647.34</v>
      </c>
      <c r="N235" s="6">
        <f t="shared" si="186"/>
        <v>1557179.28</v>
      </c>
      <c r="O235" s="6">
        <f t="shared" si="186"/>
        <v>1439586.23</v>
      </c>
      <c r="P235" s="6">
        <f t="shared" si="186"/>
        <v>1319829.08</v>
      </c>
      <c r="Q235" s="6">
        <f t="shared" si="186"/>
        <v>1197867.08</v>
      </c>
      <c r="R235" s="6">
        <f t="shared" si="186"/>
        <v>1073661.52</v>
      </c>
      <c r="S235" s="6">
        <f t="shared" si="186"/>
        <v>947170.17</v>
      </c>
      <c r="T235" s="6">
        <f t="shared" si="186"/>
        <v>818350.96000000008</v>
      </c>
      <c r="U235" s="6">
        <f t="shared" si="186"/>
        <v>687161.75000000012</v>
      </c>
      <c r="V235" s="6">
        <f t="shared" si="186"/>
        <v>553557.52000000014</v>
      </c>
      <c r="W235" s="6">
        <f t="shared" si="186"/>
        <v>417494.53000000014</v>
      </c>
      <c r="X235" s="6">
        <f t="shared" si="186"/>
        <v>278927.54000000015</v>
      </c>
      <c r="Y235" s="6">
        <f t="shared" si="186"/>
        <v>137810.46000000017</v>
      </c>
      <c r="Z235" s="6">
        <f t="shared" si="186"/>
        <v>-0.2299999998358544</v>
      </c>
      <c r="AA235" s="321">
        <f t="shared" si="186"/>
        <v>0</v>
      </c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8"/>
      <c r="AO235" s="9"/>
      <c r="AP235" s="9"/>
      <c r="AQ235" s="9"/>
      <c r="AR235" s="9"/>
      <c r="AS235" s="9"/>
      <c r="AT235" s="9"/>
      <c r="AU235" s="9"/>
      <c r="AV235" s="9"/>
      <c r="AW235" s="9"/>
      <c r="AX235" s="9"/>
    </row>
    <row r="236" spans="1:50" ht="15.75" customHeight="1" x14ac:dyDescent="0.2">
      <c r="A236" s="120"/>
      <c r="B236" s="24" t="s">
        <v>94</v>
      </c>
      <c r="C236" s="249"/>
      <c r="D236" s="5"/>
      <c r="E236" s="5"/>
      <c r="F236" s="5"/>
      <c r="G236" s="5"/>
      <c r="H236" s="5">
        <f t="shared" ref="H236:Y236" si="187">(1-500000/$C235)*H239</f>
        <v>-87692.010753768845</v>
      </c>
      <c r="I236" s="5">
        <f t="shared" si="187"/>
        <v>-86408.297135678396</v>
      </c>
      <c r="J236" s="5">
        <f t="shared" si="187"/>
        <v>-85049.027788944732</v>
      </c>
      <c r="K236" s="5">
        <f t="shared" si="187"/>
        <v>-26144.401055276383</v>
      </c>
      <c r="L236" s="5">
        <f t="shared" si="187"/>
        <v>-24610.307537688444</v>
      </c>
      <c r="M236" s="5">
        <f t="shared" si="187"/>
        <v>-23047.986381909548</v>
      </c>
      <c r="N236" s="5">
        <f t="shared" si="187"/>
        <v>-21456.913467336686</v>
      </c>
      <c r="O236" s="264">
        <f t="shared" si="187"/>
        <v>-19836.557185929647</v>
      </c>
      <c r="P236" s="5">
        <f t="shared" si="187"/>
        <v>-18186.378442211055</v>
      </c>
      <c r="Q236" s="5">
        <f t="shared" si="187"/>
        <v>-16505.838140703516</v>
      </c>
      <c r="R236" s="5">
        <f t="shared" si="187"/>
        <v>-14794.367236180904</v>
      </c>
      <c r="S236" s="5">
        <f t="shared" si="187"/>
        <v>-13051.396683417086</v>
      </c>
      <c r="T236" s="5">
        <f t="shared" si="187"/>
        <v>-11276.35743718593</v>
      </c>
      <c r="U236" s="5">
        <f t="shared" si="187"/>
        <v>-9468.6430150753786</v>
      </c>
      <c r="V236" s="5">
        <f t="shared" si="187"/>
        <v>-7627.661909547739</v>
      </c>
      <c r="W236" s="5">
        <f t="shared" si="187"/>
        <v>-5752.807638190955</v>
      </c>
      <c r="X236" s="5">
        <f t="shared" si="187"/>
        <v>-3843.4437688442208</v>
      </c>
      <c r="Y236" s="5">
        <f t="shared" si="187"/>
        <v>-1898.9413567839197</v>
      </c>
      <c r="Z236" s="5"/>
      <c r="AA236" s="264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8"/>
      <c r="AO236" s="9"/>
      <c r="AP236" s="9"/>
      <c r="AQ236" s="9"/>
      <c r="AR236" s="9"/>
      <c r="AS236" s="9"/>
      <c r="AT236" s="9"/>
      <c r="AU236" s="9"/>
      <c r="AV236" s="9"/>
      <c r="AW236" s="9"/>
      <c r="AX236" s="9"/>
    </row>
    <row r="237" spans="1:50" ht="15.75" customHeight="1" x14ac:dyDescent="0.2">
      <c r="A237" s="120"/>
      <c r="B237" s="139" t="s">
        <v>290</v>
      </c>
      <c r="C237" s="142">
        <v>0.32</v>
      </c>
      <c r="D237" s="5"/>
      <c r="E237" s="5"/>
      <c r="F237" s="5"/>
      <c r="G237" s="5"/>
      <c r="H237" s="5">
        <f t="shared" ref="H237:Y237" si="188">(1-500000/$C235)*H240</f>
        <v>-21811.960251256281</v>
      </c>
      <c r="I237" s="5">
        <f t="shared" si="188"/>
        <v>-23095.673869346734</v>
      </c>
      <c r="J237" s="5">
        <f t="shared" si="188"/>
        <v>-24454.943216080403</v>
      </c>
      <c r="K237" s="5">
        <f t="shared" si="188"/>
        <v>-83359.569949748751</v>
      </c>
      <c r="L237" s="5">
        <f t="shared" si="188"/>
        <v>-84893.663467336693</v>
      </c>
      <c r="M237" s="5">
        <f t="shared" si="188"/>
        <v>-86455.984623115583</v>
      </c>
      <c r="N237" s="5">
        <f t="shared" si="188"/>
        <v>-88047.057537688452</v>
      </c>
      <c r="O237" s="264">
        <f t="shared" si="188"/>
        <v>-89667.413819095469</v>
      </c>
      <c r="P237" s="5">
        <f t="shared" si="188"/>
        <v>-91318.281407035174</v>
      </c>
      <c r="Q237" s="5">
        <f t="shared" si="188"/>
        <v>-92998.132864321611</v>
      </c>
      <c r="R237" s="5">
        <f t="shared" si="188"/>
        <v>-94709.60376884423</v>
      </c>
      <c r="S237" s="5">
        <f t="shared" si="188"/>
        <v>-96452.574321608045</v>
      </c>
      <c r="T237" s="5">
        <f t="shared" si="188"/>
        <v>-98227.096934673362</v>
      </c>
      <c r="U237" s="5">
        <f t="shared" si="188"/>
        <v>-100035.32798994976</v>
      </c>
      <c r="V237" s="5">
        <f t="shared" si="188"/>
        <v>-101876.30909547738</v>
      </c>
      <c r="W237" s="5">
        <f t="shared" si="188"/>
        <v>-103751.16336683417</v>
      </c>
      <c r="X237" s="5">
        <f t="shared" si="188"/>
        <v>-105660.5272361809</v>
      </c>
      <c r="Y237" s="5">
        <f t="shared" si="188"/>
        <v>-103184.88849246231</v>
      </c>
      <c r="Z237" s="5"/>
      <c r="AA237" s="264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9"/>
      <c r="AP237" s="9"/>
      <c r="AQ237" s="9"/>
      <c r="AR237" s="9"/>
      <c r="AS237" s="9"/>
      <c r="AT237" s="9"/>
      <c r="AU237" s="9"/>
      <c r="AV237" s="9"/>
      <c r="AW237" s="9"/>
      <c r="AX237" s="9"/>
    </row>
    <row r="238" spans="1:50" ht="15.75" customHeight="1" x14ac:dyDescent="0.2">
      <c r="A238" s="120"/>
      <c r="B238" s="139" t="s">
        <v>291</v>
      </c>
      <c r="C238" s="142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264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264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9"/>
      <c r="AP238" s="9"/>
      <c r="AQ238" s="9"/>
      <c r="AR238" s="9"/>
      <c r="AS238" s="9"/>
      <c r="AT238" s="9"/>
      <c r="AU238" s="9"/>
      <c r="AV238" s="9"/>
      <c r="AW238" s="9"/>
      <c r="AX238" s="9"/>
    </row>
    <row r="239" spans="1:50" ht="15.75" customHeight="1" x14ac:dyDescent="0.2">
      <c r="A239" s="120"/>
      <c r="B239" s="24" t="s">
        <v>95</v>
      </c>
      <c r="C239" s="142">
        <v>0.32</v>
      </c>
      <c r="D239" s="344"/>
      <c r="E239" s="340"/>
      <c r="F239" s="340"/>
      <c r="G239" s="340"/>
      <c r="H239" s="331">
        <v>-117118.86</v>
      </c>
      <c r="I239" s="331">
        <v>-115404.37</v>
      </c>
      <c r="J239" s="331">
        <v>-113588.97</v>
      </c>
      <c r="K239" s="331">
        <v>-34917.69</v>
      </c>
      <c r="L239" s="331">
        <v>-32868.800000000003</v>
      </c>
      <c r="M239" s="331">
        <v>-30782.21</v>
      </c>
      <c r="N239" s="331">
        <v>-28657.22</v>
      </c>
      <c r="O239" s="335">
        <v>-26493.119999999999</v>
      </c>
      <c r="P239" s="331">
        <v>-24289.19</v>
      </c>
      <c r="Q239" s="331">
        <v>-22044.71</v>
      </c>
      <c r="R239" s="331">
        <v>-19758.919999999998</v>
      </c>
      <c r="S239" s="331">
        <v>-17431.060000000001</v>
      </c>
      <c r="T239" s="331">
        <v>-15060.37</v>
      </c>
      <c r="U239" s="331">
        <v>-12646.04</v>
      </c>
      <c r="V239" s="331">
        <v>-10187.280000000001</v>
      </c>
      <c r="W239" s="331">
        <v>-7683.28</v>
      </c>
      <c r="X239" s="331">
        <v>-5133.1899999999996</v>
      </c>
      <c r="Y239" s="331">
        <v>-2536.17</v>
      </c>
      <c r="Z239" s="340"/>
      <c r="AA239" s="341"/>
      <c r="AB239" s="340"/>
      <c r="AC239" s="340"/>
      <c r="AD239" s="340"/>
      <c r="AE239" s="340"/>
      <c r="AF239" s="340"/>
      <c r="AG239" s="340"/>
      <c r="AH239" s="340"/>
      <c r="AI239" s="340"/>
      <c r="AJ239" s="340"/>
      <c r="AK239" s="340"/>
      <c r="AL239" s="340"/>
      <c r="AM239" s="342"/>
      <c r="AN239" s="5"/>
      <c r="AO239" s="9"/>
      <c r="AP239" s="9"/>
      <c r="AQ239" s="9"/>
      <c r="AR239" s="9"/>
      <c r="AS239" s="9"/>
      <c r="AT239" s="9"/>
      <c r="AU239" s="9"/>
      <c r="AV239" s="9"/>
      <c r="AW239" s="9"/>
      <c r="AX239" s="9"/>
    </row>
    <row r="240" spans="1:50" ht="15.75" customHeight="1" x14ac:dyDescent="0.2">
      <c r="A240" s="120"/>
      <c r="B240" s="24" t="s">
        <v>96</v>
      </c>
      <c r="C240" s="160"/>
      <c r="D240" s="5"/>
      <c r="E240" s="5"/>
      <c r="F240" s="5"/>
      <c r="G240" s="5"/>
      <c r="H240" s="6">
        <v>-29131.41</v>
      </c>
      <c r="I240" s="6">
        <v>-30845.9</v>
      </c>
      <c r="J240" s="6">
        <v>-32661.3</v>
      </c>
      <c r="K240" s="6">
        <v>-111332.58</v>
      </c>
      <c r="L240" s="6">
        <v>-113381.47</v>
      </c>
      <c r="M240" s="6">
        <v>-115468.06</v>
      </c>
      <c r="N240" s="6">
        <v>-117593.05</v>
      </c>
      <c r="O240" s="321">
        <v>-119757.15</v>
      </c>
      <c r="P240" s="6">
        <v>-121962</v>
      </c>
      <c r="Q240" s="6">
        <v>-124205.56</v>
      </c>
      <c r="R240" s="6">
        <v>-126491.35</v>
      </c>
      <c r="S240" s="6">
        <v>-128819.21</v>
      </c>
      <c r="T240" s="6">
        <v>-131189.21</v>
      </c>
      <c r="U240" s="6">
        <v>-133604.23000000001</v>
      </c>
      <c r="V240" s="6">
        <v>-136062.99</v>
      </c>
      <c r="W240" s="6">
        <v>-138566.99</v>
      </c>
      <c r="X240" s="6">
        <v>-141117.07999999999</v>
      </c>
      <c r="Y240" s="6">
        <v>-137810.69</v>
      </c>
      <c r="Z240" s="5"/>
      <c r="AA240" s="264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8"/>
      <c r="AO240" s="9"/>
      <c r="AP240" s="9"/>
      <c r="AQ240" s="9"/>
      <c r="AR240" s="9"/>
      <c r="AS240" s="9"/>
      <c r="AT240" s="9"/>
      <c r="AU240" s="9"/>
      <c r="AV240" s="9"/>
      <c r="AW240" s="9"/>
      <c r="AX240" s="9"/>
    </row>
    <row r="241" spans="1:50" ht="15.75" customHeight="1" x14ac:dyDescent="0.2">
      <c r="A241" s="120"/>
      <c r="B241" s="24" t="s">
        <v>97</v>
      </c>
      <c r="C241" s="160"/>
      <c r="D241" s="5"/>
      <c r="E241" s="5"/>
      <c r="F241" s="5"/>
      <c r="G241" s="5">
        <f>G235</f>
        <v>1990000</v>
      </c>
      <c r="H241" s="5">
        <f t="shared" ref="H241:Y241" si="189">H235+H240</f>
        <v>1960868.59</v>
      </c>
      <c r="I241" s="5">
        <f t="shared" si="189"/>
        <v>1930022.6900000002</v>
      </c>
      <c r="J241" s="5">
        <f t="shared" si="189"/>
        <v>1897361.3900000001</v>
      </c>
      <c r="K241" s="5">
        <f t="shared" si="189"/>
        <v>1786028.81</v>
      </c>
      <c r="L241" s="5">
        <f t="shared" si="189"/>
        <v>1672647.34</v>
      </c>
      <c r="M241" s="5">
        <f t="shared" si="189"/>
        <v>1557179.28</v>
      </c>
      <c r="N241" s="5">
        <f t="shared" si="189"/>
        <v>1439586.23</v>
      </c>
      <c r="O241" s="5">
        <f t="shared" si="189"/>
        <v>1319829.08</v>
      </c>
      <c r="P241" s="5">
        <f t="shared" si="189"/>
        <v>1197867.08</v>
      </c>
      <c r="Q241" s="5">
        <f t="shared" si="189"/>
        <v>1073661.52</v>
      </c>
      <c r="R241" s="5">
        <f t="shared" si="189"/>
        <v>947170.17</v>
      </c>
      <c r="S241" s="5">
        <f t="shared" si="189"/>
        <v>818350.96000000008</v>
      </c>
      <c r="T241" s="5">
        <f t="shared" si="189"/>
        <v>687161.75000000012</v>
      </c>
      <c r="U241" s="5">
        <f t="shared" si="189"/>
        <v>553557.52000000014</v>
      </c>
      <c r="V241" s="5">
        <f t="shared" si="189"/>
        <v>417494.53000000014</v>
      </c>
      <c r="W241" s="5">
        <f t="shared" si="189"/>
        <v>278927.54000000015</v>
      </c>
      <c r="X241" s="5">
        <f t="shared" si="189"/>
        <v>137810.46000000017</v>
      </c>
      <c r="Y241" s="5">
        <f t="shared" si="189"/>
        <v>-0.2299999998358544</v>
      </c>
      <c r="Z241" s="5"/>
      <c r="AA241" s="264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8"/>
      <c r="AO241" s="9"/>
      <c r="AP241" s="9"/>
      <c r="AQ241" s="9"/>
      <c r="AR241" s="9"/>
      <c r="AS241" s="9"/>
      <c r="AT241" s="9"/>
      <c r="AU241" s="9"/>
      <c r="AV241" s="9"/>
      <c r="AW241" s="9"/>
      <c r="AX241" s="9"/>
    </row>
    <row r="242" spans="1:50" ht="15.75" customHeight="1" x14ac:dyDescent="0.2">
      <c r="A242" s="120"/>
      <c r="B242" s="127"/>
      <c r="C242" s="160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264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264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8"/>
      <c r="AO242" s="9"/>
      <c r="AP242" s="9"/>
      <c r="AQ242" s="9"/>
      <c r="AR242" s="9"/>
      <c r="AS242" s="9"/>
      <c r="AT242" s="9"/>
      <c r="AU242" s="9"/>
      <c r="AV242" s="9"/>
      <c r="AW242" s="9"/>
      <c r="AX242" s="9"/>
    </row>
    <row r="243" spans="1:50" ht="15.75" customHeight="1" x14ac:dyDescent="0.2">
      <c r="A243" s="16"/>
      <c r="B243" s="24"/>
      <c r="C243" s="156"/>
      <c r="D243" s="70"/>
      <c r="E243" s="70"/>
      <c r="F243" s="70"/>
      <c r="G243" s="70"/>
      <c r="H243" s="70"/>
      <c r="I243" s="70"/>
      <c r="J243" s="70"/>
      <c r="K243" s="70"/>
      <c r="L243" s="5"/>
      <c r="M243" s="5"/>
      <c r="N243" s="5"/>
      <c r="O243" s="264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264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8"/>
      <c r="AO243" s="9"/>
      <c r="AP243" s="9"/>
      <c r="AQ243" s="9"/>
      <c r="AR243" s="9"/>
      <c r="AS243" s="9"/>
      <c r="AT243" s="9"/>
      <c r="AU243" s="9"/>
      <c r="AV243" s="9"/>
      <c r="AW243" s="9"/>
      <c r="AX243" s="9"/>
    </row>
    <row r="244" spans="1:50" ht="15.75" customHeight="1" collapsed="1" x14ac:dyDescent="0.2">
      <c r="A244" s="18"/>
      <c r="B244" s="135" t="s">
        <v>98</v>
      </c>
      <c r="C244" s="136"/>
      <c r="D244" s="136">
        <f t="shared" ref="D244:AM244" si="190">SUM(D245:D249)</f>
        <v>0</v>
      </c>
      <c r="E244" s="136">
        <f t="shared" si="190"/>
        <v>0</v>
      </c>
      <c r="F244" s="136">
        <f t="shared" si="190"/>
        <v>0</v>
      </c>
      <c r="G244" s="136">
        <f t="shared" si="190"/>
        <v>0</v>
      </c>
      <c r="H244" s="136">
        <f t="shared" si="190"/>
        <v>0</v>
      </c>
      <c r="I244" s="136">
        <f t="shared" si="190"/>
        <v>0</v>
      </c>
      <c r="J244" s="136">
        <f t="shared" si="190"/>
        <v>0</v>
      </c>
      <c r="K244" s="136">
        <f t="shared" si="190"/>
        <v>0</v>
      </c>
      <c r="L244" s="136">
        <f t="shared" si="190"/>
        <v>0</v>
      </c>
      <c r="M244" s="136">
        <f t="shared" si="190"/>
        <v>0</v>
      </c>
      <c r="N244" s="136">
        <f t="shared" si="190"/>
        <v>0</v>
      </c>
      <c r="O244" s="319">
        <f t="shared" si="190"/>
        <v>0</v>
      </c>
      <c r="P244" s="136">
        <f t="shared" si="190"/>
        <v>0</v>
      </c>
      <c r="Q244" s="136">
        <f t="shared" si="190"/>
        <v>0</v>
      </c>
      <c r="R244" s="136">
        <f t="shared" si="190"/>
        <v>0</v>
      </c>
      <c r="S244" s="136">
        <f t="shared" si="190"/>
        <v>0</v>
      </c>
      <c r="T244" s="136">
        <f t="shared" si="190"/>
        <v>0</v>
      </c>
      <c r="U244" s="136">
        <f t="shared" si="190"/>
        <v>0</v>
      </c>
      <c r="V244" s="136">
        <f t="shared" si="190"/>
        <v>0</v>
      </c>
      <c r="W244" s="136">
        <f t="shared" si="190"/>
        <v>0</v>
      </c>
      <c r="X244" s="136">
        <f t="shared" si="190"/>
        <v>0</v>
      </c>
      <c r="Y244" s="136">
        <f t="shared" si="190"/>
        <v>0</v>
      </c>
      <c r="Z244" s="136">
        <f t="shared" si="190"/>
        <v>0</v>
      </c>
      <c r="AA244" s="319">
        <f t="shared" si="190"/>
        <v>0</v>
      </c>
      <c r="AB244" s="136">
        <f t="shared" si="190"/>
        <v>0</v>
      </c>
      <c r="AC244" s="136">
        <f t="shared" si="190"/>
        <v>0</v>
      </c>
      <c r="AD244" s="136">
        <f t="shared" si="190"/>
        <v>0</v>
      </c>
      <c r="AE244" s="136">
        <f t="shared" si="190"/>
        <v>0</v>
      </c>
      <c r="AF244" s="136">
        <f t="shared" si="190"/>
        <v>0</v>
      </c>
      <c r="AG244" s="136">
        <f t="shared" si="190"/>
        <v>0</v>
      </c>
      <c r="AH244" s="136">
        <f t="shared" si="190"/>
        <v>0</v>
      </c>
      <c r="AI244" s="136">
        <f t="shared" si="190"/>
        <v>0</v>
      </c>
      <c r="AJ244" s="136">
        <f t="shared" si="190"/>
        <v>0</v>
      </c>
      <c r="AK244" s="136">
        <f t="shared" si="190"/>
        <v>0</v>
      </c>
      <c r="AL244" s="136">
        <f t="shared" si="190"/>
        <v>0</v>
      </c>
      <c r="AM244" s="136">
        <f t="shared" si="190"/>
        <v>0</v>
      </c>
      <c r="AN244" s="259"/>
      <c r="AO244" s="9"/>
      <c r="AP244" s="9"/>
      <c r="AQ244" s="9"/>
      <c r="AR244" s="9"/>
      <c r="AS244" s="9"/>
      <c r="AT244" s="9"/>
      <c r="AU244" s="9"/>
      <c r="AV244" s="9"/>
      <c r="AW244" s="9"/>
      <c r="AX244" s="9"/>
    </row>
    <row r="245" spans="1:50" ht="15.75" hidden="1" customHeight="1" outlineLevel="1" x14ac:dyDescent="0.2">
      <c r="A245" s="25"/>
      <c r="B245" s="134"/>
      <c r="C245" s="134"/>
      <c r="D245" s="72"/>
      <c r="E245" s="72"/>
      <c r="F245" s="72"/>
      <c r="G245" s="72"/>
      <c r="H245" s="72"/>
      <c r="I245" s="72"/>
      <c r="J245" s="72"/>
      <c r="K245" s="72"/>
      <c r="L245" s="72"/>
      <c r="M245" s="72"/>
      <c r="N245" s="72"/>
      <c r="O245" s="291"/>
      <c r="P245" s="72"/>
      <c r="Q245" s="72"/>
      <c r="R245" s="72"/>
      <c r="S245" s="72"/>
      <c r="T245" s="72"/>
      <c r="U245" s="72"/>
      <c r="V245" s="72"/>
      <c r="W245" s="72"/>
      <c r="X245" s="72"/>
      <c r="Y245" s="72"/>
      <c r="Z245" s="72"/>
      <c r="AA245" s="291"/>
      <c r="AB245" s="72"/>
      <c r="AC245" s="72"/>
      <c r="AD245" s="72"/>
      <c r="AE245" s="72"/>
      <c r="AF245" s="72"/>
      <c r="AG245" s="72"/>
      <c r="AH245" s="72"/>
      <c r="AI245" s="72"/>
      <c r="AJ245" s="72"/>
      <c r="AK245" s="72"/>
      <c r="AL245" s="72"/>
      <c r="AM245" s="72"/>
      <c r="AN245" s="246"/>
      <c r="AO245" s="9"/>
      <c r="AP245" s="9"/>
      <c r="AQ245" s="9"/>
      <c r="AR245" s="9"/>
      <c r="AS245" s="9"/>
      <c r="AT245" s="9"/>
      <c r="AU245" s="9"/>
      <c r="AV245" s="9"/>
      <c r="AW245" s="9"/>
      <c r="AX245" s="9"/>
    </row>
    <row r="246" spans="1:50" ht="15.75" hidden="1" customHeight="1" outlineLevel="1" x14ac:dyDescent="0.2">
      <c r="A246" s="120"/>
      <c r="B246" s="127" t="s">
        <v>99</v>
      </c>
      <c r="C246" s="127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264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264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8"/>
      <c r="AO246" s="9"/>
      <c r="AP246" s="9"/>
      <c r="AQ246" s="9"/>
      <c r="AR246" s="9"/>
      <c r="AS246" s="9"/>
      <c r="AT246" s="9"/>
      <c r="AU246" s="9"/>
      <c r="AV246" s="9"/>
      <c r="AW246" s="9"/>
      <c r="AX246" s="9"/>
    </row>
    <row r="247" spans="1:50" ht="15.75" hidden="1" customHeight="1" outlineLevel="1" x14ac:dyDescent="0.2">
      <c r="A247" s="120"/>
      <c r="B247" s="127"/>
      <c r="C247" s="127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264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264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8"/>
      <c r="AO247" s="9"/>
      <c r="AP247" s="9"/>
      <c r="AQ247" s="9"/>
      <c r="AR247" s="9"/>
      <c r="AS247" s="9"/>
      <c r="AT247" s="9"/>
      <c r="AU247" s="9"/>
      <c r="AV247" s="9"/>
      <c r="AW247" s="9"/>
      <c r="AX247" s="9"/>
    </row>
    <row r="248" spans="1:50" ht="15.75" hidden="1" customHeight="1" outlineLevel="1" x14ac:dyDescent="0.2">
      <c r="A248" s="120"/>
      <c r="B248" s="18" t="s">
        <v>100</v>
      </c>
      <c r="C248" s="122"/>
      <c r="D248" s="161"/>
      <c r="E248" s="161"/>
      <c r="F248" s="161"/>
      <c r="G248" s="161"/>
      <c r="H248" s="161"/>
      <c r="I248" s="161"/>
      <c r="J248" s="161"/>
      <c r="K248" s="161"/>
      <c r="L248" s="161"/>
      <c r="M248" s="161"/>
      <c r="N248" s="161"/>
      <c r="O248" s="347"/>
      <c r="P248" s="161"/>
      <c r="Q248" s="161"/>
      <c r="R248" s="161"/>
      <c r="S248" s="161"/>
      <c r="T248" s="161"/>
      <c r="U248" s="161"/>
      <c r="V248" s="161"/>
      <c r="W248" s="161"/>
      <c r="X248" s="161"/>
      <c r="Y248" s="161"/>
      <c r="Z248" s="161"/>
      <c r="AA248" s="347"/>
      <c r="AB248" s="161"/>
      <c r="AC248" s="161"/>
      <c r="AD248" s="161"/>
      <c r="AE248" s="161"/>
      <c r="AF248" s="161"/>
      <c r="AG248" s="161"/>
      <c r="AH248" s="161"/>
      <c r="AI248" s="161"/>
      <c r="AJ248" s="161"/>
      <c r="AK248" s="161"/>
      <c r="AL248" s="161"/>
      <c r="AM248" s="161"/>
      <c r="AN248" s="8"/>
      <c r="AO248" s="9"/>
      <c r="AP248" s="9"/>
      <c r="AQ248" s="9"/>
      <c r="AR248" s="9"/>
      <c r="AS248" s="9"/>
      <c r="AT248" s="9"/>
      <c r="AU248" s="9"/>
      <c r="AV248" s="9"/>
      <c r="AW248" s="9"/>
      <c r="AX248" s="9"/>
    </row>
    <row r="249" spans="1:50" ht="15.75" hidden="1" customHeight="1" outlineLevel="1" x14ac:dyDescent="0.2">
      <c r="A249" s="25"/>
      <c r="B249" s="34" t="s">
        <v>101</v>
      </c>
      <c r="C249" s="247" t="str">
        <f>IFERROR(SUM(D248:AN248)/SUM(D252:AN252),"")</f>
        <v/>
      </c>
      <c r="D249" s="122"/>
      <c r="E249" s="72"/>
      <c r="F249" s="72"/>
      <c r="G249" s="72"/>
      <c r="H249" s="72"/>
      <c r="I249" s="72"/>
      <c r="J249" s="72"/>
      <c r="K249" s="72"/>
      <c r="L249" s="72"/>
      <c r="M249" s="72"/>
      <c r="N249" s="72"/>
      <c r="O249" s="291"/>
      <c r="P249" s="72"/>
      <c r="Q249" s="72"/>
      <c r="R249" s="72"/>
      <c r="S249" s="72"/>
      <c r="T249" s="72"/>
      <c r="U249" s="72"/>
      <c r="V249" s="72"/>
      <c r="W249" s="72"/>
      <c r="X249" s="72"/>
      <c r="Y249" s="72"/>
      <c r="Z249" s="72"/>
      <c r="AA249" s="291"/>
      <c r="AB249" s="72"/>
      <c r="AC249" s="72"/>
      <c r="AD249" s="72"/>
      <c r="AE249" s="72"/>
      <c r="AF249" s="72"/>
      <c r="AG249" s="72"/>
      <c r="AH249" s="72"/>
      <c r="AI249" s="72"/>
      <c r="AJ249" s="72"/>
      <c r="AK249" s="72"/>
      <c r="AL249" s="72"/>
      <c r="AM249" s="72"/>
      <c r="AN249" s="8"/>
      <c r="AO249" s="9"/>
      <c r="AP249" s="9"/>
      <c r="AQ249" s="9"/>
      <c r="AR249" s="9"/>
      <c r="AS249" s="9"/>
      <c r="AT249" s="9"/>
      <c r="AU249" s="9"/>
      <c r="AV249" s="9"/>
      <c r="AW249" s="9"/>
      <c r="AX249" s="9"/>
    </row>
    <row r="250" spans="1:50" ht="15.75" hidden="1" customHeight="1" outlineLevel="1" x14ac:dyDescent="0.2">
      <c r="A250" s="25"/>
      <c r="B250" s="34" t="s">
        <v>102</v>
      </c>
      <c r="C250" s="122"/>
      <c r="D250" s="122">
        <f t="shared" ref="D250:O250" si="191">IF(D248="",C251,D248)</f>
        <v>0</v>
      </c>
      <c r="E250" s="122">
        <f t="shared" si="191"/>
        <v>0</v>
      </c>
      <c r="F250" s="122">
        <f t="shared" si="191"/>
        <v>0</v>
      </c>
      <c r="G250" s="122">
        <f t="shared" si="191"/>
        <v>0</v>
      </c>
      <c r="H250" s="122">
        <f t="shared" si="191"/>
        <v>0</v>
      </c>
      <c r="I250" s="122">
        <f t="shared" si="191"/>
        <v>0</v>
      </c>
      <c r="J250" s="122">
        <f t="shared" si="191"/>
        <v>0</v>
      </c>
      <c r="K250" s="122">
        <f t="shared" si="191"/>
        <v>0</v>
      </c>
      <c r="L250" s="122">
        <f t="shared" si="191"/>
        <v>0</v>
      </c>
      <c r="M250" s="122">
        <f t="shared" si="191"/>
        <v>0</v>
      </c>
      <c r="N250" s="122">
        <f t="shared" si="191"/>
        <v>0</v>
      </c>
      <c r="O250" s="348">
        <f t="shared" si="191"/>
        <v>0</v>
      </c>
      <c r="P250" s="122"/>
      <c r="Q250" s="122"/>
      <c r="R250" s="122"/>
      <c r="S250" s="122"/>
      <c r="T250" s="122"/>
      <c r="U250" s="122"/>
      <c r="V250" s="122"/>
      <c r="W250" s="122"/>
      <c r="X250" s="122"/>
      <c r="Y250" s="122"/>
      <c r="Z250" s="122"/>
      <c r="AA250" s="348"/>
      <c r="AB250" s="122"/>
      <c r="AC250" s="122"/>
      <c r="AD250" s="122"/>
      <c r="AE250" s="122"/>
      <c r="AF250" s="122"/>
      <c r="AG250" s="122"/>
      <c r="AH250" s="122"/>
      <c r="AI250" s="122"/>
      <c r="AJ250" s="122"/>
      <c r="AK250" s="122"/>
      <c r="AL250" s="122"/>
      <c r="AM250" s="122"/>
      <c r="AN250" s="8"/>
      <c r="AO250" s="9"/>
      <c r="AP250" s="9"/>
      <c r="AQ250" s="9"/>
      <c r="AR250" s="9"/>
      <c r="AS250" s="9"/>
      <c r="AT250" s="9"/>
      <c r="AU250" s="9"/>
      <c r="AV250" s="9"/>
      <c r="AW250" s="9"/>
      <c r="AX250" s="9"/>
    </row>
    <row r="251" spans="1:50" ht="15.75" hidden="1" customHeight="1" outlineLevel="1" x14ac:dyDescent="0.2">
      <c r="A251" s="25"/>
      <c r="B251" s="34" t="s">
        <v>103</v>
      </c>
      <c r="C251" s="122"/>
      <c r="D251" s="163">
        <f t="shared" ref="D251:O251" si="192">IF(D250&gt;0,D250-$C$249,IF(D248="",0,D248-$C$249))</f>
        <v>0</v>
      </c>
      <c r="E251" s="163">
        <f t="shared" si="192"/>
        <v>0</v>
      </c>
      <c r="F251" s="163">
        <f t="shared" si="192"/>
        <v>0</v>
      </c>
      <c r="G251" s="163">
        <f t="shared" si="192"/>
        <v>0</v>
      </c>
      <c r="H251" s="163">
        <f t="shared" si="192"/>
        <v>0</v>
      </c>
      <c r="I251" s="163">
        <f t="shared" si="192"/>
        <v>0</v>
      </c>
      <c r="J251" s="163">
        <f t="shared" si="192"/>
        <v>0</v>
      </c>
      <c r="K251" s="163">
        <f t="shared" si="192"/>
        <v>0</v>
      </c>
      <c r="L251" s="163">
        <f t="shared" si="192"/>
        <v>0</v>
      </c>
      <c r="M251" s="163">
        <f t="shared" si="192"/>
        <v>0</v>
      </c>
      <c r="N251" s="163">
        <f t="shared" si="192"/>
        <v>0</v>
      </c>
      <c r="O251" s="349">
        <f t="shared" si="192"/>
        <v>0</v>
      </c>
      <c r="P251" s="163"/>
      <c r="Q251" s="163"/>
      <c r="R251" s="163"/>
      <c r="S251" s="163"/>
      <c r="T251" s="163"/>
      <c r="U251" s="163"/>
      <c r="V251" s="163"/>
      <c r="W251" s="163"/>
      <c r="X251" s="163"/>
      <c r="Y251" s="163"/>
      <c r="Z251" s="163"/>
      <c r="AA251" s="349"/>
      <c r="AB251" s="163"/>
      <c r="AC251" s="163"/>
      <c r="AD251" s="163"/>
      <c r="AE251" s="163"/>
      <c r="AF251" s="163"/>
      <c r="AG251" s="163"/>
      <c r="AH251" s="163"/>
      <c r="AI251" s="163"/>
      <c r="AJ251" s="163"/>
      <c r="AK251" s="163"/>
      <c r="AL251" s="163"/>
      <c r="AM251" s="163"/>
      <c r="AN251" s="8"/>
      <c r="AO251" s="9"/>
      <c r="AP251" s="9"/>
      <c r="AQ251" s="9"/>
      <c r="AR251" s="9"/>
      <c r="AS251" s="9"/>
      <c r="AT251" s="9"/>
      <c r="AU251" s="9"/>
      <c r="AV251" s="9"/>
      <c r="AW251" s="9"/>
      <c r="AX251" s="9"/>
    </row>
    <row r="252" spans="1:50" ht="15.75" hidden="1" customHeight="1" outlineLevel="1" x14ac:dyDescent="0.2">
      <c r="A252" s="25"/>
      <c r="B252" s="34" t="s">
        <v>104</v>
      </c>
      <c r="C252" s="122"/>
      <c r="D252" s="161"/>
      <c r="E252" s="161"/>
      <c r="F252" s="161"/>
      <c r="G252" s="161"/>
      <c r="H252" s="161"/>
      <c r="I252" s="161"/>
      <c r="J252" s="161"/>
      <c r="K252" s="161"/>
      <c r="L252" s="161"/>
      <c r="M252" s="161"/>
      <c r="N252" s="161"/>
      <c r="O252" s="347"/>
      <c r="P252" s="161"/>
      <c r="Q252" s="161"/>
      <c r="R252" s="161"/>
      <c r="S252" s="161"/>
      <c r="T252" s="161"/>
      <c r="U252" s="161"/>
      <c r="V252" s="161"/>
      <c r="W252" s="161"/>
      <c r="X252" s="161"/>
      <c r="Y252" s="161"/>
      <c r="Z252" s="161"/>
      <c r="AA252" s="347"/>
      <c r="AB252" s="161"/>
      <c r="AC252" s="161"/>
      <c r="AD252" s="161"/>
      <c r="AE252" s="161"/>
      <c r="AF252" s="161"/>
      <c r="AG252" s="161"/>
      <c r="AH252" s="161"/>
      <c r="AI252" s="161"/>
      <c r="AJ252" s="161"/>
      <c r="AK252" s="161"/>
      <c r="AL252" s="161"/>
      <c r="AM252" s="161"/>
      <c r="AN252" s="8"/>
      <c r="AO252" s="9"/>
      <c r="AP252" s="9"/>
      <c r="AQ252" s="9"/>
      <c r="AR252" s="9"/>
      <c r="AS252" s="9"/>
      <c r="AT252" s="9"/>
      <c r="AU252" s="9"/>
      <c r="AV252" s="9"/>
      <c r="AW252" s="9"/>
      <c r="AX252" s="9"/>
    </row>
    <row r="253" spans="1:50" ht="15.75" hidden="1" customHeight="1" outlineLevel="1" x14ac:dyDescent="0.2">
      <c r="A253" s="25"/>
      <c r="B253" s="134"/>
      <c r="C253" s="134"/>
      <c r="D253" s="72"/>
      <c r="E253" s="72"/>
      <c r="F253" s="72"/>
      <c r="G253" s="72"/>
      <c r="H253" s="72"/>
      <c r="I253" s="72"/>
      <c r="J253" s="72"/>
      <c r="K253" s="72"/>
      <c r="L253" s="72"/>
      <c r="M253" s="72"/>
      <c r="N253" s="72"/>
      <c r="O253" s="291"/>
      <c r="P253" s="72"/>
      <c r="Q253" s="72"/>
      <c r="R253" s="72"/>
      <c r="S253" s="72"/>
      <c r="T253" s="72"/>
      <c r="U253" s="72"/>
      <c r="V253" s="72"/>
      <c r="W253" s="72"/>
      <c r="X253" s="72"/>
      <c r="Y253" s="72"/>
      <c r="Z253" s="72"/>
      <c r="AA253" s="291"/>
      <c r="AB253" s="72"/>
      <c r="AC253" s="72"/>
      <c r="AD253" s="72"/>
      <c r="AE253" s="72"/>
      <c r="AF253" s="72"/>
      <c r="AG253" s="72"/>
      <c r="AH253" s="72"/>
      <c r="AI253" s="72"/>
      <c r="AJ253" s="72"/>
      <c r="AK253" s="72"/>
      <c r="AL253" s="72"/>
      <c r="AM253" s="72"/>
      <c r="AN253" s="246"/>
      <c r="AO253" s="9"/>
      <c r="AP253" s="9"/>
      <c r="AQ253" s="9"/>
      <c r="AR253" s="9"/>
      <c r="AS253" s="9"/>
      <c r="AT253" s="9"/>
      <c r="AU253" s="9"/>
      <c r="AV253" s="9"/>
      <c r="AW253" s="9"/>
      <c r="AX253" s="9"/>
    </row>
    <row r="254" spans="1:50" ht="15.75" customHeight="1" x14ac:dyDescent="0.2">
      <c r="A254" s="25"/>
      <c r="B254" s="134"/>
      <c r="C254" s="134"/>
      <c r="D254" s="72"/>
      <c r="E254" s="72"/>
      <c r="F254" s="72"/>
      <c r="G254" s="72"/>
      <c r="H254" s="72"/>
      <c r="I254" s="72"/>
      <c r="J254" s="72"/>
      <c r="K254" s="72"/>
      <c r="L254" s="72"/>
      <c r="M254" s="72"/>
      <c r="N254" s="72"/>
      <c r="O254" s="291"/>
      <c r="P254" s="72"/>
      <c r="Q254" s="72"/>
      <c r="R254" s="72"/>
      <c r="S254" s="72"/>
      <c r="T254" s="72"/>
      <c r="U254" s="72"/>
      <c r="V254" s="72"/>
      <c r="W254" s="72"/>
      <c r="X254" s="72"/>
      <c r="Y254" s="72"/>
      <c r="Z254" s="72"/>
      <c r="AA254" s="291"/>
      <c r="AB254" s="72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246"/>
      <c r="AO254" s="9"/>
      <c r="AP254" s="9"/>
      <c r="AQ254" s="9"/>
      <c r="AR254" s="9"/>
      <c r="AS254" s="9"/>
      <c r="AT254" s="9"/>
      <c r="AU254" s="9"/>
      <c r="AV254" s="9"/>
      <c r="AW254" s="9"/>
      <c r="AX254" s="9"/>
    </row>
    <row r="255" spans="1:50" ht="15.75" hidden="1" customHeight="1" x14ac:dyDescent="0.2">
      <c r="A255" s="18"/>
      <c r="B255" s="103" t="s">
        <v>105</v>
      </c>
      <c r="C255" s="103"/>
      <c r="D255" s="77" t="e">
        <f t="shared" ref="D255:O255" si="193">D294+D322-D334+D328</f>
        <v>#REF!</v>
      </c>
      <c r="E255" s="77" t="e">
        <f t="shared" si="193"/>
        <v>#REF!</v>
      </c>
      <c r="F255" s="77" t="e">
        <f t="shared" si="193"/>
        <v>#REF!</v>
      </c>
      <c r="G255" s="77" t="e">
        <f t="shared" si="193"/>
        <v>#REF!</v>
      </c>
      <c r="H255" s="77" t="e">
        <f t="shared" si="193"/>
        <v>#REF!</v>
      </c>
      <c r="I255" s="77" t="e">
        <f t="shared" si="193"/>
        <v>#REF!</v>
      </c>
      <c r="J255" s="77" t="e">
        <f t="shared" si="193"/>
        <v>#REF!</v>
      </c>
      <c r="K255" s="77" t="e">
        <f t="shared" si="193"/>
        <v>#REF!</v>
      </c>
      <c r="L255" s="77" t="e">
        <f t="shared" si="193"/>
        <v>#REF!</v>
      </c>
      <c r="M255" s="77" t="e">
        <f t="shared" si="193"/>
        <v>#REF!</v>
      </c>
      <c r="N255" s="77" t="e">
        <f t="shared" si="193"/>
        <v>#REF!</v>
      </c>
      <c r="O255" s="273" t="e">
        <f t="shared" si="193"/>
        <v>#REF!</v>
      </c>
      <c r="P255" s="77"/>
      <c r="Q255" s="77"/>
      <c r="R255" s="77"/>
      <c r="S255" s="77"/>
      <c r="T255" s="77"/>
      <c r="U255" s="77"/>
      <c r="V255" s="77"/>
      <c r="W255" s="77"/>
      <c r="X255" s="77"/>
      <c r="Y255" s="77"/>
      <c r="Z255" s="77"/>
      <c r="AA255" s="273"/>
      <c r="AB255" s="77"/>
      <c r="AC255" s="77"/>
      <c r="AD255" s="77"/>
      <c r="AE255" s="77"/>
      <c r="AF255" s="77"/>
      <c r="AG255" s="77"/>
      <c r="AH255" s="77"/>
      <c r="AI255" s="77"/>
      <c r="AJ255" s="77"/>
      <c r="AK255" s="77"/>
      <c r="AL255" s="77"/>
      <c r="AM255" s="77"/>
      <c r="AN255" s="246"/>
      <c r="AO255" s="9"/>
      <c r="AP255" s="9"/>
      <c r="AQ255" s="9"/>
      <c r="AR255" s="9"/>
      <c r="AS255" s="9"/>
      <c r="AT255" s="9"/>
      <c r="AU255" s="9"/>
      <c r="AV255" s="9"/>
      <c r="AW255" s="9"/>
      <c r="AX255" s="9"/>
    </row>
    <row r="256" spans="1:50" ht="15.75" hidden="1" customHeight="1" x14ac:dyDescent="0.2">
      <c r="A256" s="34"/>
      <c r="B256" s="485" t="s">
        <v>106</v>
      </c>
      <c r="C256" s="477"/>
      <c r="D256" s="5" t="e">
        <f t="shared" ref="D256:O256" si="194">D295+D323+D329-D335</f>
        <v>#REF!</v>
      </c>
      <c r="E256" s="5" t="e">
        <f t="shared" si="194"/>
        <v>#REF!</v>
      </c>
      <c r="F256" s="5" t="e">
        <f t="shared" si="194"/>
        <v>#REF!</v>
      </c>
      <c r="G256" s="5" t="e">
        <f t="shared" si="194"/>
        <v>#REF!</v>
      </c>
      <c r="H256" s="5" t="e">
        <f t="shared" si="194"/>
        <v>#REF!</v>
      </c>
      <c r="I256" s="5" t="e">
        <f t="shared" si="194"/>
        <v>#REF!</v>
      </c>
      <c r="J256" s="5" t="e">
        <f t="shared" si="194"/>
        <v>#REF!</v>
      </c>
      <c r="K256" s="5" t="e">
        <f t="shared" si="194"/>
        <v>#REF!</v>
      </c>
      <c r="L256" s="5" t="e">
        <f t="shared" si="194"/>
        <v>#REF!</v>
      </c>
      <c r="M256" s="5" t="e">
        <f t="shared" si="194"/>
        <v>#REF!</v>
      </c>
      <c r="N256" s="5" t="e">
        <f t="shared" si="194"/>
        <v>#REF!</v>
      </c>
      <c r="O256" s="264" t="e">
        <f t="shared" si="194"/>
        <v>#REF!</v>
      </c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264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8"/>
      <c r="AO256" s="9"/>
      <c r="AP256" s="9"/>
      <c r="AQ256" s="9"/>
      <c r="AR256" s="9"/>
      <c r="AS256" s="9"/>
      <c r="AT256" s="9"/>
      <c r="AU256" s="9"/>
      <c r="AV256" s="9"/>
      <c r="AW256" s="9"/>
      <c r="AX256" s="9"/>
    </row>
    <row r="257" spans="1:50" ht="15.75" customHeight="1" x14ac:dyDescent="0.2">
      <c r="A257" s="120"/>
      <c r="B257" s="481"/>
      <c r="C257" s="477"/>
      <c r="D257" s="486" t="s">
        <v>9</v>
      </c>
      <c r="E257" s="477"/>
      <c r="F257" s="477"/>
      <c r="G257" s="477"/>
      <c r="H257" s="477"/>
      <c r="I257" s="477"/>
      <c r="J257" s="477"/>
      <c r="K257" s="477"/>
      <c r="L257" s="477"/>
      <c r="M257" s="477"/>
      <c r="N257" s="477"/>
      <c r="O257" s="477"/>
      <c r="P257" s="486" t="s">
        <v>10</v>
      </c>
      <c r="Q257" s="477"/>
      <c r="R257" s="477"/>
      <c r="S257" s="477"/>
      <c r="T257" s="477"/>
      <c r="U257" s="477"/>
      <c r="V257" s="477"/>
      <c r="W257" s="477"/>
      <c r="X257" s="477"/>
      <c r="Y257" s="477"/>
      <c r="Z257" s="477"/>
      <c r="AA257" s="477"/>
      <c r="AB257" s="486" t="s">
        <v>11</v>
      </c>
      <c r="AC257" s="477"/>
      <c r="AD257" s="477"/>
      <c r="AE257" s="477"/>
      <c r="AF257" s="477"/>
      <c r="AG257" s="477"/>
      <c r="AH257" s="477"/>
      <c r="AI257" s="477"/>
      <c r="AJ257" s="477"/>
      <c r="AK257" s="477"/>
      <c r="AL257" s="477"/>
      <c r="AM257" s="477"/>
      <c r="AN257" s="8"/>
      <c r="AO257" s="9"/>
      <c r="AP257" s="9"/>
      <c r="AQ257" s="9"/>
      <c r="AR257" s="9"/>
      <c r="AS257" s="9"/>
      <c r="AT257" s="9"/>
      <c r="AU257" s="9"/>
      <c r="AV257" s="9"/>
      <c r="AW257" s="9"/>
      <c r="AX257" s="9"/>
    </row>
    <row r="258" spans="1:50" ht="15.75" customHeight="1" x14ac:dyDescent="0.2">
      <c r="A258" s="177"/>
      <c r="B258" s="248" t="s">
        <v>211</v>
      </c>
      <c r="C258" s="178"/>
      <c r="D258" s="169" t="s">
        <v>17</v>
      </c>
      <c r="E258" s="169" t="s">
        <v>18</v>
      </c>
      <c r="F258" s="169" t="s">
        <v>19</v>
      </c>
      <c r="G258" s="169" t="s">
        <v>20</v>
      </c>
      <c r="H258" s="169" t="s">
        <v>21</v>
      </c>
      <c r="I258" s="169" t="s">
        <v>22</v>
      </c>
      <c r="J258" s="169" t="s">
        <v>23</v>
      </c>
      <c r="K258" s="169" t="s">
        <v>24</v>
      </c>
      <c r="L258" s="169" t="s">
        <v>25</v>
      </c>
      <c r="M258" s="169" t="s">
        <v>14</v>
      </c>
      <c r="N258" s="169" t="s">
        <v>15</v>
      </c>
      <c r="O258" s="350" t="s">
        <v>16</v>
      </c>
      <c r="P258" s="169" t="s">
        <v>17</v>
      </c>
      <c r="Q258" s="169" t="s">
        <v>18</v>
      </c>
      <c r="R258" s="169" t="s">
        <v>19</v>
      </c>
      <c r="S258" s="169" t="s">
        <v>20</v>
      </c>
      <c r="T258" s="169" t="s">
        <v>21</v>
      </c>
      <c r="U258" s="169" t="s">
        <v>22</v>
      </c>
      <c r="V258" s="169" t="s">
        <v>23</v>
      </c>
      <c r="W258" s="169" t="s">
        <v>24</v>
      </c>
      <c r="X258" s="169" t="s">
        <v>25</v>
      </c>
      <c r="Y258" s="169" t="s">
        <v>14</v>
      </c>
      <c r="Z258" s="169" t="s">
        <v>15</v>
      </c>
      <c r="AA258" s="350" t="s">
        <v>16</v>
      </c>
      <c r="AB258" s="169" t="s">
        <v>17</v>
      </c>
      <c r="AC258" s="169" t="s">
        <v>18</v>
      </c>
      <c r="AD258" s="169" t="s">
        <v>19</v>
      </c>
      <c r="AE258" s="169" t="s">
        <v>20</v>
      </c>
      <c r="AF258" s="169" t="s">
        <v>21</v>
      </c>
      <c r="AG258" s="169" t="s">
        <v>22</v>
      </c>
      <c r="AH258" s="169" t="s">
        <v>23</v>
      </c>
      <c r="AI258" s="169" t="s">
        <v>24</v>
      </c>
      <c r="AJ258" s="169" t="s">
        <v>25</v>
      </c>
      <c r="AK258" s="169" t="s">
        <v>14</v>
      </c>
      <c r="AL258" s="169" t="s">
        <v>15</v>
      </c>
      <c r="AM258" s="169" t="s">
        <v>16</v>
      </c>
      <c r="AN258" s="8"/>
      <c r="AO258" s="9"/>
      <c r="AP258" s="9"/>
      <c r="AQ258" s="9"/>
      <c r="AR258" s="9"/>
      <c r="AS258" s="9"/>
      <c r="AT258" s="9"/>
      <c r="AU258" s="9"/>
      <c r="AV258" s="9"/>
      <c r="AW258" s="9"/>
      <c r="AX258" s="9"/>
    </row>
    <row r="259" spans="1:50" ht="15.75" customHeight="1" x14ac:dyDescent="0.2">
      <c r="A259" s="177"/>
      <c r="B259" s="24" t="s">
        <v>109</v>
      </c>
      <c r="C259" s="249"/>
      <c r="D259" s="5">
        <f t="shared" ref="D259:AM259" si="195">-30/(D69/((D260+D269)/2))</f>
        <v>77.762096774193537</v>
      </c>
      <c r="E259" s="5">
        <f t="shared" si="195"/>
        <v>70.283548568220098</v>
      </c>
      <c r="F259" s="5">
        <f t="shared" si="195"/>
        <v>38.368112161721555</v>
      </c>
      <c r="G259" s="5">
        <f t="shared" si="195"/>
        <v>57.852581160191598</v>
      </c>
      <c r="H259" s="5">
        <f t="shared" si="195"/>
        <v>39.827035657264503</v>
      </c>
      <c r="I259" s="5">
        <f t="shared" si="195"/>
        <v>32.179350718467269</v>
      </c>
      <c r="J259" s="5">
        <f t="shared" si="195"/>
        <v>25.329962746141561</v>
      </c>
      <c r="K259" s="5">
        <f t="shared" si="195"/>
        <v>22.472059606173499</v>
      </c>
      <c r="L259" s="5">
        <f t="shared" si="195"/>
        <v>21.21075039914848</v>
      </c>
      <c r="M259" s="5">
        <f t="shared" si="195"/>
        <v>20.747738158594998</v>
      </c>
      <c r="N259" s="5">
        <f t="shared" si="195"/>
        <v>21.295503211991434</v>
      </c>
      <c r="O259" s="264">
        <f t="shared" si="195"/>
        <v>19.903553299492383</v>
      </c>
      <c r="P259" s="5">
        <f t="shared" si="195"/>
        <v>21.287425149700596</v>
      </c>
      <c r="Q259" s="5">
        <f t="shared" si="195"/>
        <v>19.603735487127711</v>
      </c>
      <c r="R259" s="5">
        <f t="shared" si="195"/>
        <v>14.528301886792452</v>
      </c>
      <c r="S259" s="5">
        <f t="shared" si="195"/>
        <v>19.486428951569984</v>
      </c>
      <c r="T259" s="5">
        <f t="shared" si="195"/>
        <v>19.821713677488024</v>
      </c>
      <c r="U259" s="5">
        <f t="shared" si="195"/>
        <v>20.156998403406067</v>
      </c>
      <c r="V259" s="5">
        <f t="shared" si="195"/>
        <v>20.492283129324107</v>
      </c>
      <c r="W259" s="5">
        <f t="shared" si="195"/>
        <v>20.827567855242147</v>
      </c>
      <c r="X259" s="5">
        <f t="shared" si="195"/>
        <v>21.162852581160191</v>
      </c>
      <c r="Y259" s="5">
        <f t="shared" si="195"/>
        <v>21.498137307078231</v>
      </c>
      <c r="Z259" s="5">
        <f t="shared" si="195"/>
        <v>22.050321199143468</v>
      </c>
      <c r="AA259" s="264">
        <f t="shared" si="195"/>
        <v>20.61928934010152</v>
      </c>
      <c r="AB259" s="5">
        <f t="shared" si="195"/>
        <v>22.054980947196519</v>
      </c>
      <c r="AC259" s="5">
        <f t="shared" si="195"/>
        <v>24.858657243816253</v>
      </c>
      <c r="AD259" s="5">
        <f t="shared" si="195"/>
        <v>18.620283018867926</v>
      </c>
      <c r="AE259" s="5">
        <f t="shared" si="195"/>
        <v>20.23682810005322</v>
      </c>
      <c r="AF259" s="5">
        <f t="shared" si="195"/>
        <v>20.57211282597126</v>
      </c>
      <c r="AG259" s="5">
        <f t="shared" si="195"/>
        <v>20.907397551889304</v>
      </c>
      <c r="AH259" s="5">
        <f t="shared" si="195"/>
        <v>21.242682277807344</v>
      </c>
      <c r="AI259" s="5">
        <f t="shared" si="195"/>
        <v>21.577967003725387</v>
      </c>
      <c r="AJ259" s="5">
        <f t="shared" si="195"/>
        <v>21.913251729643427</v>
      </c>
      <c r="AK259" s="5">
        <f t="shared" si="195"/>
        <v>22.248536455561467</v>
      </c>
      <c r="AL259" s="5">
        <f t="shared" si="195"/>
        <v>22.805139186295502</v>
      </c>
      <c r="AM259" s="5">
        <f t="shared" si="195"/>
        <v>21.335025380710661</v>
      </c>
      <c r="AN259" s="8"/>
      <c r="AO259" s="9"/>
      <c r="AP259" s="9"/>
      <c r="AQ259" s="9"/>
      <c r="AR259" s="9"/>
      <c r="AS259" s="9"/>
      <c r="AT259" s="9"/>
      <c r="AU259" s="9"/>
      <c r="AV259" s="9"/>
      <c r="AW259" s="9"/>
      <c r="AX259" s="9"/>
    </row>
    <row r="260" spans="1:50" ht="15.75" customHeight="1" x14ac:dyDescent="0.2">
      <c r="A260" s="177"/>
      <c r="B260" s="186" t="s">
        <v>212</v>
      </c>
      <c r="C260" s="125">
        <v>113</v>
      </c>
      <c r="D260" s="185">
        <f>D261*$C260</f>
        <v>299563</v>
      </c>
      <c r="E260" s="185">
        <f t="shared" ref="E260:AM260" si="196">D269</f>
        <v>572119</v>
      </c>
      <c r="F260" s="185">
        <f t="shared" si="196"/>
        <v>370866</v>
      </c>
      <c r="G260" s="185">
        <f t="shared" si="196"/>
        <v>515619</v>
      </c>
      <c r="H260" s="185">
        <f t="shared" si="196"/>
        <v>303292</v>
      </c>
      <c r="I260" s="185">
        <f t="shared" si="196"/>
        <v>260465</v>
      </c>
      <c r="J260" s="185">
        <f t="shared" si="196"/>
        <v>195038</v>
      </c>
      <c r="K260" s="185">
        <f t="shared" si="196"/>
        <v>163511</v>
      </c>
      <c r="L260" s="185">
        <f t="shared" si="196"/>
        <v>154584</v>
      </c>
      <c r="M260" s="185">
        <f t="shared" si="196"/>
        <v>145657</v>
      </c>
      <c r="N260" s="185">
        <f t="shared" si="196"/>
        <v>148030</v>
      </c>
      <c r="O260" s="339">
        <f t="shared" si="196"/>
        <v>151646</v>
      </c>
      <c r="P260" s="185">
        <f t="shared" si="196"/>
        <v>143736</v>
      </c>
      <c r="Q260" s="185">
        <f t="shared" si="196"/>
        <v>150855</v>
      </c>
      <c r="R260" s="185">
        <f t="shared" si="196"/>
        <v>141702</v>
      </c>
      <c r="S260" s="185">
        <f t="shared" si="196"/>
        <v>136730</v>
      </c>
      <c r="T260" s="185">
        <f t="shared" si="196"/>
        <v>139103</v>
      </c>
      <c r="U260" s="185">
        <f t="shared" si="196"/>
        <v>141476</v>
      </c>
      <c r="V260" s="185">
        <f t="shared" si="196"/>
        <v>143849</v>
      </c>
      <c r="W260" s="185">
        <f t="shared" si="196"/>
        <v>146222</v>
      </c>
      <c r="X260" s="185">
        <f t="shared" si="196"/>
        <v>148595</v>
      </c>
      <c r="Y260" s="185">
        <f t="shared" si="196"/>
        <v>150968</v>
      </c>
      <c r="Z260" s="185">
        <f t="shared" si="196"/>
        <v>153341</v>
      </c>
      <c r="AA260" s="339">
        <f t="shared" si="196"/>
        <v>156957</v>
      </c>
      <c r="AB260" s="185">
        <f t="shared" si="196"/>
        <v>149047</v>
      </c>
      <c r="AC260" s="185">
        <f t="shared" si="196"/>
        <v>156166</v>
      </c>
      <c r="AD260" s="185">
        <f t="shared" si="196"/>
        <v>214813</v>
      </c>
      <c r="AE260" s="185">
        <f t="shared" si="196"/>
        <v>142041</v>
      </c>
      <c r="AF260" s="185">
        <f t="shared" si="196"/>
        <v>144414</v>
      </c>
      <c r="AG260" s="185">
        <f t="shared" si="196"/>
        <v>146787</v>
      </c>
      <c r="AH260" s="185">
        <f t="shared" si="196"/>
        <v>149160</v>
      </c>
      <c r="AI260" s="185">
        <f t="shared" si="196"/>
        <v>151533</v>
      </c>
      <c r="AJ260" s="185">
        <f t="shared" si="196"/>
        <v>153906</v>
      </c>
      <c r="AK260" s="185">
        <f t="shared" si="196"/>
        <v>156279</v>
      </c>
      <c r="AL260" s="185">
        <f t="shared" si="196"/>
        <v>158652</v>
      </c>
      <c r="AM260" s="185">
        <f t="shared" si="196"/>
        <v>162268</v>
      </c>
      <c r="AN260" s="8"/>
      <c r="AO260" s="9"/>
      <c r="AP260" s="9"/>
      <c r="AQ260" s="9"/>
      <c r="AR260" s="9"/>
      <c r="AS260" s="9"/>
      <c r="AT260" s="9"/>
      <c r="AU260" s="9"/>
      <c r="AV260" s="9"/>
      <c r="AW260" s="9"/>
      <c r="AX260" s="9"/>
    </row>
    <row r="261" spans="1:50" ht="15.75" customHeight="1" x14ac:dyDescent="0.2">
      <c r="A261" s="177"/>
      <c r="B261" s="139" t="s">
        <v>213</v>
      </c>
      <c r="C261" s="125">
        <v>2651</v>
      </c>
      <c r="D261" s="5">
        <f>C261</f>
        <v>2651</v>
      </c>
      <c r="E261" s="5">
        <f t="shared" ref="E261:AM261" si="197">D270</f>
        <v>5063</v>
      </c>
      <c r="F261" s="5">
        <f t="shared" si="197"/>
        <v>3282</v>
      </c>
      <c r="G261" s="351">
        <f t="shared" si="197"/>
        <v>4563</v>
      </c>
      <c r="H261" s="5">
        <f t="shared" si="197"/>
        <v>2684</v>
      </c>
      <c r="I261" s="5">
        <f t="shared" si="197"/>
        <v>2305</v>
      </c>
      <c r="J261" s="5">
        <f t="shared" si="197"/>
        <v>1726</v>
      </c>
      <c r="K261" s="5">
        <f t="shared" si="197"/>
        <v>1447</v>
      </c>
      <c r="L261" s="5">
        <f t="shared" si="197"/>
        <v>1368</v>
      </c>
      <c r="M261" s="5">
        <f t="shared" si="197"/>
        <v>1289</v>
      </c>
      <c r="N261" s="5">
        <f t="shared" si="197"/>
        <v>1310</v>
      </c>
      <c r="O261" s="264">
        <f t="shared" si="197"/>
        <v>1342</v>
      </c>
      <c r="P261" s="5">
        <f t="shared" si="197"/>
        <v>1272</v>
      </c>
      <c r="Q261" s="5">
        <f t="shared" si="197"/>
        <v>1335</v>
      </c>
      <c r="R261" s="5">
        <f t="shared" si="197"/>
        <v>1254</v>
      </c>
      <c r="S261" s="5">
        <f t="shared" si="197"/>
        <v>1210</v>
      </c>
      <c r="T261" s="5">
        <f t="shared" si="197"/>
        <v>1231</v>
      </c>
      <c r="U261" s="5">
        <f t="shared" si="197"/>
        <v>1252</v>
      </c>
      <c r="V261" s="5">
        <f t="shared" si="197"/>
        <v>1273</v>
      </c>
      <c r="W261" s="5">
        <f t="shared" si="197"/>
        <v>1294</v>
      </c>
      <c r="X261" s="5">
        <f t="shared" si="197"/>
        <v>1315</v>
      </c>
      <c r="Y261" s="5">
        <f t="shared" si="197"/>
        <v>1336</v>
      </c>
      <c r="Z261" s="5">
        <f t="shared" si="197"/>
        <v>1357</v>
      </c>
      <c r="AA261" s="264">
        <f t="shared" si="197"/>
        <v>1389</v>
      </c>
      <c r="AB261" s="5">
        <f t="shared" si="197"/>
        <v>1319</v>
      </c>
      <c r="AC261" s="5">
        <f t="shared" si="197"/>
        <v>1382</v>
      </c>
      <c r="AD261" s="5">
        <f t="shared" si="197"/>
        <v>1901</v>
      </c>
      <c r="AE261" s="5">
        <f t="shared" si="197"/>
        <v>1257</v>
      </c>
      <c r="AF261" s="5">
        <f t="shared" si="197"/>
        <v>1278</v>
      </c>
      <c r="AG261" s="5">
        <f t="shared" si="197"/>
        <v>1299</v>
      </c>
      <c r="AH261" s="5">
        <f t="shared" si="197"/>
        <v>1320</v>
      </c>
      <c r="AI261" s="5">
        <f t="shared" si="197"/>
        <v>1341</v>
      </c>
      <c r="AJ261" s="5">
        <f t="shared" si="197"/>
        <v>1362</v>
      </c>
      <c r="AK261" s="5">
        <f t="shared" si="197"/>
        <v>1383</v>
      </c>
      <c r="AL261" s="5">
        <f t="shared" si="197"/>
        <v>1404</v>
      </c>
      <c r="AM261" s="5">
        <f t="shared" si="197"/>
        <v>1436</v>
      </c>
      <c r="AN261" s="8"/>
      <c r="AO261" s="9"/>
      <c r="AP261" s="9"/>
      <c r="AQ261" s="9"/>
      <c r="AR261" s="9"/>
      <c r="AS261" s="9"/>
      <c r="AT261" s="9"/>
      <c r="AU261" s="9"/>
      <c r="AV261" s="9"/>
      <c r="AW261" s="9"/>
      <c r="AX261" s="9"/>
    </row>
    <row r="262" spans="1:50" ht="15.75" customHeight="1" x14ac:dyDescent="0.2">
      <c r="A262" s="177"/>
      <c r="B262" s="485" t="s">
        <v>214</v>
      </c>
      <c r="C262" s="477"/>
      <c r="D262" s="5">
        <f t="shared" ref="D262:AM262" si="198">D24</f>
        <v>1488</v>
      </c>
      <c r="E262" s="5">
        <f t="shared" si="198"/>
        <v>1781</v>
      </c>
      <c r="F262" s="5">
        <f t="shared" si="198"/>
        <v>3067</v>
      </c>
      <c r="G262" s="5">
        <f t="shared" si="198"/>
        <v>1879</v>
      </c>
      <c r="H262" s="5">
        <f t="shared" si="198"/>
        <v>1879</v>
      </c>
      <c r="I262" s="5">
        <f t="shared" si="198"/>
        <v>1879</v>
      </c>
      <c r="J262" s="5">
        <f t="shared" si="198"/>
        <v>1879</v>
      </c>
      <c r="K262" s="5">
        <f t="shared" si="198"/>
        <v>1879</v>
      </c>
      <c r="L262" s="5">
        <f t="shared" si="198"/>
        <v>1879</v>
      </c>
      <c r="M262" s="5">
        <f t="shared" si="198"/>
        <v>1879</v>
      </c>
      <c r="N262" s="5">
        <f t="shared" si="198"/>
        <v>1868</v>
      </c>
      <c r="O262" s="264">
        <f t="shared" si="198"/>
        <v>1970</v>
      </c>
      <c r="P262" s="5">
        <f t="shared" si="198"/>
        <v>1837</v>
      </c>
      <c r="Q262" s="5">
        <f t="shared" si="198"/>
        <v>1981</v>
      </c>
      <c r="R262" s="5">
        <f t="shared" si="198"/>
        <v>2544</v>
      </c>
      <c r="S262" s="5">
        <f t="shared" si="198"/>
        <v>1879</v>
      </c>
      <c r="T262" s="5">
        <f t="shared" si="198"/>
        <v>1879</v>
      </c>
      <c r="U262" s="5">
        <f t="shared" si="198"/>
        <v>1879</v>
      </c>
      <c r="V262" s="5">
        <f t="shared" si="198"/>
        <v>1879</v>
      </c>
      <c r="W262" s="5">
        <f t="shared" si="198"/>
        <v>1879</v>
      </c>
      <c r="X262" s="5">
        <f t="shared" si="198"/>
        <v>1879</v>
      </c>
      <c r="Y262" s="5">
        <f t="shared" si="198"/>
        <v>1879</v>
      </c>
      <c r="Z262" s="5">
        <f t="shared" si="198"/>
        <v>1868</v>
      </c>
      <c r="AA262" s="264">
        <f t="shared" si="198"/>
        <v>1970</v>
      </c>
      <c r="AB262" s="5">
        <f t="shared" si="198"/>
        <v>1837</v>
      </c>
      <c r="AC262" s="5">
        <f t="shared" si="198"/>
        <v>1981</v>
      </c>
      <c r="AD262" s="5">
        <f t="shared" si="198"/>
        <v>2544</v>
      </c>
      <c r="AE262" s="5">
        <f t="shared" si="198"/>
        <v>1879</v>
      </c>
      <c r="AF262" s="5">
        <f t="shared" si="198"/>
        <v>1879</v>
      </c>
      <c r="AG262" s="5">
        <f t="shared" si="198"/>
        <v>1879</v>
      </c>
      <c r="AH262" s="5">
        <f t="shared" si="198"/>
        <v>1879</v>
      </c>
      <c r="AI262" s="5">
        <f t="shared" si="198"/>
        <v>1879</v>
      </c>
      <c r="AJ262" s="5">
        <f t="shared" si="198"/>
        <v>1879</v>
      </c>
      <c r="AK262" s="5">
        <f t="shared" si="198"/>
        <v>1879</v>
      </c>
      <c r="AL262" s="5">
        <f t="shared" si="198"/>
        <v>1868</v>
      </c>
      <c r="AM262" s="5">
        <f t="shared" si="198"/>
        <v>1970</v>
      </c>
      <c r="AN262" s="8"/>
      <c r="AO262" s="9"/>
      <c r="AP262" s="9"/>
      <c r="AQ262" s="9"/>
      <c r="AR262" s="9"/>
      <c r="AS262" s="9"/>
      <c r="AT262" s="9"/>
      <c r="AU262" s="9"/>
      <c r="AV262" s="9"/>
      <c r="AW262" s="9"/>
      <c r="AX262" s="9"/>
    </row>
    <row r="263" spans="1:50" ht="15.75" customHeight="1" x14ac:dyDescent="0.2">
      <c r="A263" s="177"/>
      <c r="B263" s="46" t="s">
        <v>215</v>
      </c>
      <c r="C263" s="125">
        <v>113</v>
      </c>
      <c r="D263" s="5">
        <f t="shared" ref="D263:AM263" si="199">D262*$C263</f>
        <v>168144</v>
      </c>
      <c r="E263" s="5">
        <f t="shared" si="199"/>
        <v>201253</v>
      </c>
      <c r="F263" s="5">
        <f t="shared" si="199"/>
        <v>346571</v>
      </c>
      <c r="G263" s="5">
        <f t="shared" si="199"/>
        <v>212327</v>
      </c>
      <c r="H263" s="5">
        <f t="shared" si="199"/>
        <v>212327</v>
      </c>
      <c r="I263" s="5">
        <f t="shared" si="199"/>
        <v>212327</v>
      </c>
      <c r="J263" s="5">
        <f t="shared" si="199"/>
        <v>212327</v>
      </c>
      <c r="K263" s="5">
        <f t="shared" si="199"/>
        <v>212327</v>
      </c>
      <c r="L263" s="5">
        <f t="shared" si="199"/>
        <v>212327</v>
      </c>
      <c r="M263" s="5">
        <f t="shared" si="199"/>
        <v>212327</v>
      </c>
      <c r="N263" s="5">
        <f t="shared" si="199"/>
        <v>211084</v>
      </c>
      <c r="O263" s="264">
        <f t="shared" si="199"/>
        <v>222610</v>
      </c>
      <c r="P263" s="5">
        <f t="shared" si="199"/>
        <v>207581</v>
      </c>
      <c r="Q263" s="5">
        <f t="shared" si="199"/>
        <v>223853</v>
      </c>
      <c r="R263" s="5">
        <f t="shared" si="199"/>
        <v>287472</v>
      </c>
      <c r="S263" s="5">
        <f t="shared" si="199"/>
        <v>212327</v>
      </c>
      <c r="T263" s="5">
        <f t="shared" si="199"/>
        <v>212327</v>
      </c>
      <c r="U263" s="5">
        <f t="shared" si="199"/>
        <v>212327</v>
      </c>
      <c r="V263" s="5">
        <f t="shared" si="199"/>
        <v>212327</v>
      </c>
      <c r="W263" s="5">
        <f t="shared" si="199"/>
        <v>212327</v>
      </c>
      <c r="X263" s="5">
        <f t="shared" si="199"/>
        <v>212327</v>
      </c>
      <c r="Y263" s="5">
        <f t="shared" si="199"/>
        <v>212327</v>
      </c>
      <c r="Z263" s="5">
        <f t="shared" si="199"/>
        <v>211084</v>
      </c>
      <c r="AA263" s="264">
        <f t="shared" si="199"/>
        <v>222610</v>
      </c>
      <c r="AB263" s="5">
        <f t="shared" si="199"/>
        <v>207581</v>
      </c>
      <c r="AC263" s="5">
        <f t="shared" si="199"/>
        <v>223853</v>
      </c>
      <c r="AD263" s="5">
        <f t="shared" si="199"/>
        <v>287472</v>
      </c>
      <c r="AE263" s="5">
        <f t="shared" si="199"/>
        <v>212327</v>
      </c>
      <c r="AF263" s="5">
        <f t="shared" si="199"/>
        <v>212327</v>
      </c>
      <c r="AG263" s="5">
        <f t="shared" si="199"/>
        <v>212327</v>
      </c>
      <c r="AH263" s="5">
        <f t="shared" si="199"/>
        <v>212327</v>
      </c>
      <c r="AI263" s="5">
        <f t="shared" si="199"/>
        <v>212327</v>
      </c>
      <c r="AJ263" s="5">
        <f t="shared" si="199"/>
        <v>212327</v>
      </c>
      <c r="AK263" s="5">
        <f t="shared" si="199"/>
        <v>212327</v>
      </c>
      <c r="AL263" s="5">
        <f t="shared" si="199"/>
        <v>211084</v>
      </c>
      <c r="AM263" s="5">
        <f t="shared" si="199"/>
        <v>222610</v>
      </c>
      <c r="AN263" s="8"/>
      <c r="AO263" s="497" t="s">
        <v>292</v>
      </c>
      <c r="AP263" s="477"/>
      <c r="AQ263" s="9"/>
      <c r="AR263" s="9"/>
      <c r="AS263" s="9"/>
      <c r="AT263" s="9"/>
      <c r="AU263" s="9"/>
      <c r="AV263" s="9"/>
      <c r="AW263" s="9"/>
      <c r="AX263" s="9"/>
    </row>
    <row r="264" spans="1:50" ht="15.75" customHeight="1" x14ac:dyDescent="0.2">
      <c r="A264" s="177"/>
      <c r="B264" s="252" t="s">
        <v>216</v>
      </c>
      <c r="C264" s="125">
        <v>110</v>
      </c>
      <c r="D264" s="185">
        <f t="shared" ref="D264:AM264" si="200">$C264*D265</f>
        <v>127930</v>
      </c>
      <c r="E264" s="185">
        <f t="shared" si="200"/>
        <v>361020</v>
      </c>
      <c r="F264" s="185">
        <f t="shared" si="200"/>
        <v>23650</v>
      </c>
      <c r="G264" s="185">
        <f t="shared" si="200"/>
        <v>295240</v>
      </c>
      <c r="H264" s="185">
        <f t="shared" si="200"/>
        <v>88550</v>
      </c>
      <c r="I264" s="185">
        <f t="shared" si="200"/>
        <v>46860</v>
      </c>
      <c r="J264" s="185">
        <f t="shared" si="200"/>
        <v>-16830</v>
      </c>
      <c r="K264" s="185">
        <f t="shared" si="200"/>
        <v>-47520</v>
      </c>
      <c r="L264" s="185">
        <f t="shared" si="200"/>
        <v>-56210</v>
      </c>
      <c r="M264" s="185">
        <f t="shared" si="200"/>
        <v>-64900</v>
      </c>
      <c r="N264" s="185">
        <f t="shared" si="200"/>
        <v>-61380</v>
      </c>
      <c r="O264" s="339">
        <f t="shared" si="200"/>
        <v>-69080</v>
      </c>
      <c r="P264" s="185">
        <f t="shared" si="200"/>
        <v>-62150</v>
      </c>
      <c r="Q264" s="185">
        <f t="shared" si="200"/>
        <v>-71060</v>
      </c>
      <c r="R264" s="185">
        <f t="shared" si="200"/>
        <v>-141900</v>
      </c>
      <c r="S264" s="185">
        <f t="shared" si="200"/>
        <v>-73590</v>
      </c>
      <c r="T264" s="185">
        <f t="shared" si="200"/>
        <v>-71280</v>
      </c>
      <c r="U264" s="185">
        <f t="shared" si="200"/>
        <v>-68970</v>
      </c>
      <c r="V264" s="185">
        <f t="shared" si="200"/>
        <v>-66660</v>
      </c>
      <c r="W264" s="185">
        <f t="shared" si="200"/>
        <v>-64350</v>
      </c>
      <c r="X264" s="185">
        <f t="shared" si="200"/>
        <v>-62040</v>
      </c>
      <c r="Y264" s="185">
        <f t="shared" si="200"/>
        <v>-59730</v>
      </c>
      <c r="Z264" s="185">
        <f t="shared" si="200"/>
        <v>-56210</v>
      </c>
      <c r="AA264" s="339">
        <f t="shared" si="200"/>
        <v>-63910</v>
      </c>
      <c r="AB264" s="185">
        <f t="shared" si="200"/>
        <v>-56980</v>
      </c>
      <c r="AC264" s="185">
        <f t="shared" si="200"/>
        <v>-65890</v>
      </c>
      <c r="AD264" s="185">
        <f t="shared" si="200"/>
        <v>-70730</v>
      </c>
      <c r="AE264" s="185">
        <f t="shared" si="200"/>
        <v>-68420</v>
      </c>
      <c r="AF264" s="185">
        <f t="shared" si="200"/>
        <v>-66110</v>
      </c>
      <c r="AG264" s="185">
        <f t="shared" si="200"/>
        <v>-63800</v>
      </c>
      <c r="AH264" s="185">
        <f t="shared" si="200"/>
        <v>-61490</v>
      </c>
      <c r="AI264" s="185">
        <f t="shared" si="200"/>
        <v>-59180</v>
      </c>
      <c r="AJ264" s="185">
        <f t="shared" si="200"/>
        <v>-56870</v>
      </c>
      <c r="AK264" s="185">
        <f t="shared" si="200"/>
        <v>-54560</v>
      </c>
      <c r="AL264" s="185">
        <f t="shared" si="200"/>
        <v>-51040</v>
      </c>
      <c r="AM264" s="185">
        <f t="shared" si="200"/>
        <v>-58740</v>
      </c>
      <c r="AN264" s="8"/>
      <c r="AO264" s="9"/>
      <c r="AP264" s="9"/>
      <c r="AQ264" s="9"/>
      <c r="AR264" s="9"/>
      <c r="AS264" s="9"/>
      <c r="AT264" s="9"/>
      <c r="AU264" s="9"/>
      <c r="AV264" s="9"/>
      <c r="AW264" s="9"/>
      <c r="AX264" s="9"/>
    </row>
    <row r="265" spans="1:50" ht="15.75" customHeight="1" x14ac:dyDescent="0.2">
      <c r="A265" s="177"/>
      <c r="B265" s="139" t="s">
        <v>217</v>
      </c>
      <c r="C265" s="127"/>
      <c r="D265" s="6">
        <f t="shared" ref="D265:AM265" si="201">D261-D262</f>
        <v>1163</v>
      </c>
      <c r="E265" s="6">
        <f t="shared" si="201"/>
        <v>3282</v>
      </c>
      <c r="F265" s="6">
        <f t="shared" si="201"/>
        <v>215</v>
      </c>
      <c r="G265" s="6">
        <f t="shared" si="201"/>
        <v>2684</v>
      </c>
      <c r="H265" s="6">
        <f t="shared" si="201"/>
        <v>805</v>
      </c>
      <c r="I265" s="6">
        <f t="shared" si="201"/>
        <v>426</v>
      </c>
      <c r="J265" s="6">
        <f t="shared" si="201"/>
        <v>-153</v>
      </c>
      <c r="K265" s="6">
        <f t="shared" si="201"/>
        <v>-432</v>
      </c>
      <c r="L265" s="6">
        <f t="shared" si="201"/>
        <v>-511</v>
      </c>
      <c r="M265" s="6">
        <f t="shared" si="201"/>
        <v>-590</v>
      </c>
      <c r="N265" s="6">
        <f t="shared" si="201"/>
        <v>-558</v>
      </c>
      <c r="O265" s="321">
        <f t="shared" si="201"/>
        <v>-628</v>
      </c>
      <c r="P265" s="6">
        <f t="shared" si="201"/>
        <v>-565</v>
      </c>
      <c r="Q265" s="6">
        <f t="shared" si="201"/>
        <v>-646</v>
      </c>
      <c r="R265" s="6">
        <f t="shared" si="201"/>
        <v>-1290</v>
      </c>
      <c r="S265" s="6">
        <f t="shared" si="201"/>
        <v>-669</v>
      </c>
      <c r="T265" s="6">
        <f t="shared" si="201"/>
        <v>-648</v>
      </c>
      <c r="U265" s="6">
        <f t="shared" si="201"/>
        <v>-627</v>
      </c>
      <c r="V265" s="6">
        <f t="shared" si="201"/>
        <v>-606</v>
      </c>
      <c r="W265" s="6">
        <f t="shared" si="201"/>
        <v>-585</v>
      </c>
      <c r="X265" s="6">
        <f t="shared" si="201"/>
        <v>-564</v>
      </c>
      <c r="Y265" s="6">
        <f t="shared" si="201"/>
        <v>-543</v>
      </c>
      <c r="Z265" s="6">
        <f t="shared" si="201"/>
        <v>-511</v>
      </c>
      <c r="AA265" s="321">
        <f t="shared" si="201"/>
        <v>-581</v>
      </c>
      <c r="AB265" s="6">
        <f t="shared" si="201"/>
        <v>-518</v>
      </c>
      <c r="AC265" s="6">
        <f t="shared" si="201"/>
        <v>-599</v>
      </c>
      <c r="AD265" s="6">
        <f t="shared" si="201"/>
        <v>-643</v>
      </c>
      <c r="AE265" s="6">
        <f t="shared" si="201"/>
        <v>-622</v>
      </c>
      <c r="AF265" s="6">
        <f t="shared" si="201"/>
        <v>-601</v>
      </c>
      <c r="AG265" s="6">
        <f t="shared" si="201"/>
        <v>-580</v>
      </c>
      <c r="AH265" s="6">
        <f t="shared" si="201"/>
        <v>-559</v>
      </c>
      <c r="AI265" s="6">
        <f t="shared" si="201"/>
        <v>-538</v>
      </c>
      <c r="AJ265" s="6">
        <f t="shared" si="201"/>
        <v>-517</v>
      </c>
      <c r="AK265" s="6">
        <f t="shared" si="201"/>
        <v>-496</v>
      </c>
      <c r="AL265" s="6">
        <f t="shared" si="201"/>
        <v>-464</v>
      </c>
      <c r="AM265" s="6">
        <f t="shared" si="201"/>
        <v>-534</v>
      </c>
      <c r="AN265" s="8"/>
      <c r="AO265" s="9"/>
      <c r="AP265" s="9"/>
      <c r="AQ265" s="9"/>
      <c r="AR265" s="9"/>
      <c r="AS265" s="9"/>
      <c r="AT265" s="9"/>
      <c r="AU265" s="9"/>
      <c r="AV265" s="9"/>
      <c r="AW265" s="9"/>
      <c r="AX265" s="9"/>
    </row>
    <row r="266" spans="1:50" ht="15.75" customHeight="1" x14ac:dyDescent="0.2">
      <c r="A266" s="177"/>
      <c r="B266" s="252" t="s">
        <v>218</v>
      </c>
      <c r="C266" s="127"/>
      <c r="D266" s="183">
        <f t="shared" ref="D266:AM266" si="202">D267*D268</f>
        <v>408759</v>
      </c>
      <c r="E266" s="183">
        <f t="shared" si="202"/>
        <v>0</v>
      </c>
      <c r="F266" s="183">
        <f t="shared" si="202"/>
        <v>456540</v>
      </c>
      <c r="G266" s="183">
        <f t="shared" si="202"/>
        <v>0</v>
      </c>
      <c r="H266" s="183">
        <f t="shared" si="202"/>
        <v>165000</v>
      </c>
      <c r="I266" s="183">
        <f t="shared" si="202"/>
        <v>143000</v>
      </c>
      <c r="J266" s="183">
        <f t="shared" si="202"/>
        <v>176000</v>
      </c>
      <c r="K266" s="183">
        <f t="shared" si="202"/>
        <v>198000</v>
      </c>
      <c r="L266" s="183">
        <f t="shared" si="202"/>
        <v>198000</v>
      </c>
      <c r="M266" s="183">
        <f t="shared" si="202"/>
        <v>209000</v>
      </c>
      <c r="N266" s="183">
        <f t="shared" si="202"/>
        <v>209000</v>
      </c>
      <c r="O266" s="345">
        <f t="shared" si="202"/>
        <v>209000</v>
      </c>
      <c r="P266" s="183">
        <f t="shared" si="202"/>
        <v>209000</v>
      </c>
      <c r="Q266" s="183">
        <f t="shared" si="202"/>
        <v>209000</v>
      </c>
      <c r="R266" s="183">
        <f t="shared" si="202"/>
        <v>275000</v>
      </c>
      <c r="S266" s="183">
        <f t="shared" si="202"/>
        <v>209000</v>
      </c>
      <c r="T266" s="183">
        <f t="shared" si="202"/>
        <v>209000</v>
      </c>
      <c r="U266" s="183">
        <f t="shared" si="202"/>
        <v>209000</v>
      </c>
      <c r="V266" s="183">
        <f t="shared" si="202"/>
        <v>209000</v>
      </c>
      <c r="W266" s="183">
        <f t="shared" si="202"/>
        <v>209000</v>
      </c>
      <c r="X266" s="183">
        <f t="shared" si="202"/>
        <v>209000</v>
      </c>
      <c r="Y266" s="183">
        <f t="shared" si="202"/>
        <v>209000</v>
      </c>
      <c r="Z266" s="183">
        <f t="shared" si="202"/>
        <v>209000</v>
      </c>
      <c r="AA266" s="345">
        <f t="shared" si="202"/>
        <v>209000</v>
      </c>
      <c r="AB266" s="183">
        <f t="shared" si="202"/>
        <v>209000</v>
      </c>
      <c r="AC266" s="183">
        <f t="shared" si="202"/>
        <v>275000</v>
      </c>
      <c r="AD266" s="183">
        <f t="shared" si="202"/>
        <v>209000</v>
      </c>
      <c r="AE266" s="183">
        <f t="shared" si="202"/>
        <v>209000</v>
      </c>
      <c r="AF266" s="183">
        <f t="shared" si="202"/>
        <v>209000</v>
      </c>
      <c r="AG266" s="183">
        <f t="shared" si="202"/>
        <v>209000</v>
      </c>
      <c r="AH266" s="183">
        <f t="shared" si="202"/>
        <v>209000</v>
      </c>
      <c r="AI266" s="183">
        <f t="shared" si="202"/>
        <v>209000</v>
      </c>
      <c r="AJ266" s="183">
        <f t="shared" si="202"/>
        <v>209000</v>
      </c>
      <c r="AK266" s="183">
        <f t="shared" si="202"/>
        <v>209000</v>
      </c>
      <c r="AL266" s="183">
        <f t="shared" si="202"/>
        <v>209000</v>
      </c>
      <c r="AM266" s="183">
        <f t="shared" si="202"/>
        <v>209000</v>
      </c>
      <c r="AN266" s="8"/>
      <c r="AO266" s="9"/>
      <c r="AP266" s="9"/>
      <c r="AQ266" s="9"/>
      <c r="AR266" s="9"/>
      <c r="AS266" s="9"/>
      <c r="AT266" s="9"/>
      <c r="AU266" s="9"/>
      <c r="AV266" s="9"/>
      <c r="AW266" s="9"/>
      <c r="AX266" s="9"/>
    </row>
    <row r="267" spans="1:50" ht="15.75" customHeight="1" x14ac:dyDescent="0.2">
      <c r="A267" s="352"/>
      <c r="B267" s="353" t="s">
        <v>219</v>
      </c>
      <c r="C267" s="354"/>
      <c r="D267" s="355">
        <v>3900</v>
      </c>
      <c r="E267" s="356"/>
      <c r="F267" s="355">
        <v>4348</v>
      </c>
      <c r="G267" s="356"/>
      <c r="H267" s="355">
        <v>1500</v>
      </c>
      <c r="I267" s="355">
        <v>1300</v>
      </c>
      <c r="J267" s="355">
        <v>1600</v>
      </c>
      <c r="K267" s="355">
        <v>1800</v>
      </c>
      <c r="L267" s="355">
        <v>1800</v>
      </c>
      <c r="M267" s="355">
        <v>1900</v>
      </c>
      <c r="N267" s="355">
        <v>1900</v>
      </c>
      <c r="O267" s="357">
        <v>1900</v>
      </c>
      <c r="P267" s="355">
        <v>1900</v>
      </c>
      <c r="Q267" s="355">
        <v>1900</v>
      </c>
      <c r="R267" s="355">
        <v>2500</v>
      </c>
      <c r="S267" s="355">
        <v>1900</v>
      </c>
      <c r="T267" s="355">
        <v>1900</v>
      </c>
      <c r="U267" s="355">
        <v>1900</v>
      </c>
      <c r="V267" s="355">
        <v>1900</v>
      </c>
      <c r="W267" s="355">
        <v>1900</v>
      </c>
      <c r="X267" s="355">
        <v>1900</v>
      </c>
      <c r="Y267" s="355">
        <v>1900</v>
      </c>
      <c r="Z267" s="355">
        <v>1900</v>
      </c>
      <c r="AA267" s="357">
        <v>1900</v>
      </c>
      <c r="AB267" s="355">
        <v>1900</v>
      </c>
      <c r="AC267" s="355">
        <v>2500</v>
      </c>
      <c r="AD267" s="355">
        <v>1900</v>
      </c>
      <c r="AE267" s="355">
        <v>1900</v>
      </c>
      <c r="AF267" s="355">
        <v>1900</v>
      </c>
      <c r="AG267" s="355">
        <v>1900</v>
      </c>
      <c r="AH267" s="355">
        <v>1900</v>
      </c>
      <c r="AI267" s="355">
        <v>1900</v>
      </c>
      <c r="AJ267" s="355">
        <v>1900</v>
      </c>
      <c r="AK267" s="355">
        <v>1900</v>
      </c>
      <c r="AL267" s="355">
        <v>1900</v>
      </c>
      <c r="AM267" s="355">
        <v>1900</v>
      </c>
      <c r="AN267" s="358"/>
      <c r="AO267" s="359"/>
      <c r="AP267" s="359"/>
      <c r="AQ267" s="359"/>
      <c r="AR267" s="359"/>
      <c r="AS267" s="359"/>
      <c r="AT267" s="359"/>
      <c r="AU267" s="359"/>
      <c r="AV267" s="359"/>
      <c r="AW267" s="359"/>
      <c r="AX267" s="360"/>
    </row>
    <row r="268" spans="1:50" ht="15.75" customHeight="1" x14ac:dyDescent="0.2">
      <c r="A268" s="177"/>
      <c r="B268" s="166" t="s">
        <v>220</v>
      </c>
      <c r="C268" s="127"/>
      <c r="D268" s="6">
        <v>104.81</v>
      </c>
      <c r="E268" s="5"/>
      <c r="F268" s="6">
        <v>105</v>
      </c>
      <c r="G268" s="5"/>
      <c r="H268" s="5">
        <f t="shared" ref="H268:AM268" si="203">$C264</f>
        <v>110</v>
      </c>
      <c r="I268" s="5">
        <f t="shared" si="203"/>
        <v>110</v>
      </c>
      <c r="J268" s="5">
        <f t="shared" si="203"/>
        <v>110</v>
      </c>
      <c r="K268" s="5">
        <f t="shared" si="203"/>
        <v>110</v>
      </c>
      <c r="L268" s="5">
        <f t="shared" si="203"/>
        <v>110</v>
      </c>
      <c r="M268" s="5">
        <f t="shared" si="203"/>
        <v>110</v>
      </c>
      <c r="N268" s="5">
        <f t="shared" si="203"/>
        <v>110</v>
      </c>
      <c r="O268" s="264">
        <f t="shared" si="203"/>
        <v>110</v>
      </c>
      <c r="P268" s="5">
        <f t="shared" si="203"/>
        <v>110</v>
      </c>
      <c r="Q268" s="5">
        <f t="shared" si="203"/>
        <v>110</v>
      </c>
      <c r="R268" s="5">
        <f t="shared" si="203"/>
        <v>110</v>
      </c>
      <c r="S268" s="5">
        <f t="shared" si="203"/>
        <v>110</v>
      </c>
      <c r="T268" s="5">
        <f t="shared" si="203"/>
        <v>110</v>
      </c>
      <c r="U268" s="5">
        <f t="shared" si="203"/>
        <v>110</v>
      </c>
      <c r="V268" s="5">
        <f t="shared" si="203"/>
        <v>110</v>
      </c>
      <c r="W268" s="5">
        <f t="shared" si="203"/>
        <v>110</v>
      </c>
      <c r="X268" s="5">
        <f t="shared" si="203"/>
        <v>110</v>
      </c>
      <c r="Y268" s="5">
        <f t="shared" si="203"/>
        <v>110</v>
      </c>
      <c r="Z268" s="5">
        <f t="shared" si="203"/>
        <v>110</v>
      </c>
      <c r="AA268" s="264">
        <f t="shared" si="203"/>
        <v>110</v>
      </c>
      <c r="AB268" s="5">
        <f t="shared" si="203"/>
        <v>110</v>
      </c>
      <c r="AC268" s="5">
        <f t="shared" si="203"/>
        <v>110</v>
      </c>
      <c r="AD268" s="5">
        <f t="shared" si="203"/>
        <v>110</v>
      </c>
      <c r="AE268" s="5">
        <f t="shared" si="203"/>
        <v>110</v>
      </c>
      <c r="AF268" s="5">
        <f t="shared" si="203"/>
        <v>110</v>
      </c>
      <c r="AG268" s="5">
        <f t="shared" si="203"/>
        <v>110</v>
      </c>
      <c r="AH268" s="5">
        <f t="shared" si="203"/>
        <v>110</v>
      </c>
      <c r="AI268" s="5">
        <f t="shared" si="203"/>
        <v>110</v>
      </c>
      <c r="AJ268" s="5">
        <f t="shared" si="203"/>
        <v>110</v>
      </c>
      <c r="AK268" s="5">
        <f t="shared" si="203"/>
        <v>110</v>
      </c>
      <c r="AL268" s="5">
        <f t="shared" si="203"/>
        <v>110</v>
      </c>
      <c r="AM268" s="5">
        <f t="shared" si="203"/>
        <v>110</v>
      </c>
      <c r="AN268" s="8"/>
      <c r="AO268" s="9"/>
      <c r="AP268" s="9"/>
      <c r="AQ268" s="9"/>
      <c r="AR268" s="9"/>
      <c r="AS268" s="9"/>
      <c r="AT268" s="9"/>
      <c r="AU268" s="9"/>
      <c r="AV268" s="9"/>
      <c r="AW268" s="9"/>
      <c r="AX268" s="9"/>
    </row>
    <row r="269" spans="1:50" ht="15.75" customHeight="1" x14ac:dyDescent="0.2">
      <c r="A269" s="177"/>
      <c r="B269" s="252" t="s">
        <v>221</v>
      </c>
      <c r="C269" s="125">
        <v>113</v>
      </c>
      <c r="D269" s="185">
        <f t="shared" ref="D269:AM269" si="204">D270*$C269</f>
        <v>572119</v>
      </c>
      <c r="E269" s="185">
        <f t="shared" si="204"/>
        <v>370866</v>
      </c>
      <c r="F269" s="185">
        <f t="shared" si="204"/>
        <v>515619</v>
      </c>
      <c r="G269" s="185">
        <f t="shared" si="204"/>
        <v>303292</v>
      </c>
      <c r="H269" s="185">
        <f t="shared" si="204"/>
        <v>260465</v>
      </c>
      <c r="I269" s="185">
        <f t="shared" si="204"/>
        <v>195038</v>
      </c>
      <c r="J269" s="185">
        <f t="shared" si="204"/>
        <v>163511</v>
      </c>
      <c r="K269" s="185">
        <f t="shared" si="204"/>
        <v>154584</v>
      </c>
      <c r="L269" s="185">
        <f t="shared" si="204"/>
        <v>145657</v>
      </c>
      <c r="M269" s="185">
        <f t="shared" si="204"/>
        <v>148030</v>
      </c>
      <c r="N269" s="185">
        <f t="shared" si="204"/>
        <v>151646</v>
      </c>
      <c r="O269" s="339">
        <f t="shared" si="204"/>
        <v>143736</v>
      </c>
      <c r="P269" s="185">
        <f t="shared" si="204"/>
        <v>150855</v>
      </c>
      <c r="Q269" s="185">
        <f t="shared" si="204"/>
        <v>141702</v>
      </c>
      <c r="R269" s="185">
        <f t="shared" si="204"/>
        <v>136730</v>
      </c>
      <c r="S269" s="185">
        <f t="shared" si="204"/>
        <v>139103</v>
      </c>
      <c r="T269" s="185">
        <f t="shared" si="204"/>
        <v>141476</v>
      </c>
      <c r="U269" s="185">
        <f t="shared" si="204"/>
        <v>143849</v>
      </c>
      <c r="V269" s="185">
        <f t="shared" si="204"/>
        <v>146222</v>
      </c>
      <c r="W269" s="185">
        <f t="shared" si="204"/>
        <v>148595</v>
      </c>
      <c r="X269" s="185">
        <f t="shared" si="204"/>
        <v>150968</v>
      </c>
      <c r="Y269" s="185">
        <f t="shared" si="204"/>
        <v>153341</v>
      </c>
      <c r="Z269" s="185">
        <f t="shared" si="204"/>
        <v>156957</v>
      </c>
      <c r="AA269" s="339">
        <f t="shared" si="204"/>
        <v>149047</v>
      </c>
      <c r="AB269" s="185">
        <f t="shared" si="204"/>
        <v>156166</v>
      </c>
      <c r="AC269" s="185">
        <f t="shared" si="204"/>
        <v>214813</v>
      </c>
      <c r="AD269" s="185">
        <f t="shared" si="204"/>
        <v>142041</v>
      </c>
      <c r="AE269" s="185">
        <f t="shared" si="204"/>
        <v>144414</v>
      </c>
      <c r="AF269" s="185">
        <f t="shared" si="204"/>
        <v>146787</v>
      </c>
      <c r="AG269" s="185">
        <f t="shared" si="204"/>
        <v>149160</v>
      </c>
      <c r="AH269" s="185">
        <f t="shared" si="204"/>
        <v>151533</v>
      </c>
      <c r="AI269" s="185">
        <f t="shared" si="204"/>
        <v>153906</v>
      </c>
      <c r="AJ269" s="185">
        <f t="shared" si="204"/>
        <v>156279</v>
      </c>
      <c r="AK269" s="185">
        <f t="shared" si="204"/>
        <v>158652</v>
      </c>
      <c r="AL269" s="185">
        <f t="shared" si="204"/>
        <v>162268</v>
      </c>
      <c r="AM269" s="185">
        <f t="shared" si="204"/>
        <v>154358</v>
      </c>
      <c r="AN269" s="8"/>
      <c r="AO269" s="9"/>
      <c r="AP269" s="9"/>
      <c r="AQ269" s="9"/>
      <c r="AR269" s="9"/>
      <c r="AS269" s="9"/>
      <c r="AT269" s="9"/>
      <c r="AU269" s="9"/>
      <c r="AV269" s="9"/>
      <c r="AW269" s="9"/>
      <c r="AX269" s="9"/>
    </row>
    <row r="270" spans="1:50" ht="15.75" customHeight="1" x14ac:dyDescent="0.2">
      <c r="A270" s="177"/>
      <c r="B270" s="255" t="s">
        <v>222</v>
      </c>
      <c r="C270" s="127"/>
      <c r="D270" s="5">
        <f t="shared" ref="D270:AM270" si="205">D261-D262+D267</f>
        <v>5063</v>
      </c>
      <c r="E270" s="5">
        <f t="shared" si="205"/>
        <v>3282</v>
      </c>
      <c r="F270" s="5">
        <f t="shared" si="205"/>
        <v>4563</v>
      </c>
      <c r="G270" s="5">
        <f t="shared" si="205"/>
        <v>2684</v>
      </c>
      <c r="H270" s="5">
        <f t="shared" si="205"/>
        <v>2305</v>
      </c>
      <c r="I270" s="5">
        <f t="shared" si="205"/>
        <v>1726</v>
      </c>
      <c r="J270" s="5">
        <f t="shared" si="205"/>
        <v>1447</v>
      </c>
      <c r="K270" s="5">
        <f t="shared" si="205"/>
        <v>1368</v>
      </c>
      <c r="L270" s="5">
        <f t="shared" si="205"/>
        <v>1289</v>
      </c>
      <c r="M270" s="5">
        <f t="shared" si="205"/>
        <v>1310</v>
      </c>
      <c r="N270" s="5">
        <f t="shared" si="205"/>
        <v>1342</v>
      </c>
      <c r="O270" s="264">
        <f t="shared" si="205"/>
        <v>1272</v>
      </c>
      <c r="P270" s="5">
        <f t="shared" si="205"/>
        <v>1335</v>
      </c>
      <c r="Q270" s="5">
        <f t="shared" si="205"/>
        <v>1254</v>
      </c>
      <c r="R270" s="5">
        <f t="shared" si="205"/>
        <v>1210</v>
      </c>
      <c r="S270" s="5">
        <f t="shared" si="205"/>
        <v>1231</v>
      </c>
      <c r="T270" s="5">
        <f t="shared" si="205"/>
        <v>1252</v>
      </c>
      <c r="U270" s="5">
        <f t="shared" si="205"/>
        <v>1273</v>
      </c>
      <c r="V270" s="5">
        <f t="shared" si="205"/>
        <v>1294</v>
      </c>
      <c r="W270" s="5">
        <f t="shared" si="205"/>
        <v>1315</v>
      </c>
      <c r="X270" s="5">
        <f t="shared" si="205"/>
        <v>1336</v>
      </c>
      <c r="Y270" s="5">
        <f t="shared" si="205"/>
        <v>1357</v>
      </c>
      <c r="Z270" s="5">
        <f t="shared" si="205"/>
        <v>1389</v>
      </c>
      <c r="AA270" s="264">
        <f t="shared" si="205"/>
        <v>1319</v>
      </c>
      <c r="AB270" s="5">
        <f t="shared" si="205"/>
        <v>1382</v>
      </c>
      <c r="AC270" s="5">
        <f t="shared" si="205"/>
        <v>1901</v>
      </c>
      <c r="AD270" s="5">
        <f t="shared" si="205"/>
        <v>1257</v>
      </c>
      <c r="AE270" s="5">
        <f t="shared" si="205"/>
        <v>1278</v>
      </c>
      <c r="AF270" s="5">
        <f t="shared" si="205"/>
        <v>1299</v>
      </c>
      <c r="AG270" s="5">
        <f t="shared" si="205"/>
        <v>1320</v>
      </c>
      <c r="AH270" s="5">
        <f t="shared" si="205"/>
        <v>1341</v>
      </c>
      <c r="AI270" s="5">
        <f t="shared" si="205"/>
        <v>1362</v>
      </c>
      <c r="AJ270" s="5">
        <f t="shared" si="205"/>
        <v>1383</v>
      </c>
      <c r="AK270" s="5">
        <f t="shared" si="205"/>
        <v>1404</v>
      </c>
      <c r="AL270" s="5">
        <f t="shared" si="205"/>
        <v>1436</v>
      </c>
      <c r="AM270" s="5">
        <f t="shared" si="205"/>
        <v>1366</v>
      </c>
      <c r="AN270" s="8"/>
      <c r="AO270" s="9"/>
      <c r="AP270" s="9"/>
      <c r="AQ270" s="9"/>
      <c r="AR270" s="9"/>
      <c r="AS270" s="9"/>
      <c r="AT270" s="9"/>
      <c r="AU270" s="9"/>
      <c r="AV270" s="9"/>
      <c r="AW270" s="9"/>
      <c r="AX270" s="9"/>
    </row>
    <row r="271" spans="1:50" ht="15.75" customHeight="1" x14ac:dyDescent="0.2">
      <c r="A271" s="177"/>
      <c r="B271" s="166" t="s">
        <v>112</v>
      </c>
      <c r="C271" s="127"/>
      <c r="D271" s="5">
        <f t="shared" ref="D271:AM271" si="206">D260-D269</f>
        <v>-272556</v>
      </c>
      <c r="E271" s="5">
        <f t="shared" si="206"/>
        <v>201253</v>
      </c>
      <c r="F271" s="5">
        <f t="shared" si="206"/>
        <v>-144753</v>
      </c>
      <c r="G271" s="5">
        <f t="shared" si="206"/>
        <v>212327</v>
      </c>
      <c r="H271" s="5">
        <f t="shared" si="206"/>
        <v>42827</v>
      </c>
      <c r="I271" s="5">
        <f t="shared" si="206"/>
        <v>65427</v>
      </c>
      <c r="J271" s="5">
        <f t="shared" si="206"/>
        <v>31527</v>
      </c>
      <c r="K271" s="5">
        <f t="shared" si="206"/>
        <v>8927</v>
      </c>
      <c r="L271" s="5">
        <f t="shared" si="206"/>
        <v>8927</v>
      </c>
      <c r="M271" s="5">
        <f t="shared" si="206"/>
        <v>-2373</v>
      </c>
      <c r="N271" s="5">
        <f t="shared" si="206"/>
        <v>-3616</v>
      </c>
      <c r="O271" s="264">
        <f t="shared" si="206"/>
        <v>7910</v>
      </c>
      <c r="P271" s="5">
        <f t="shared" si="206"/>
        <v>-7119</v>
      </c>
      <c r="Q271" s="5">
        <f t="shared" si="206"/>
        <v>9153</v>
      </c>
      <c r="R271" s="5">
        <f t="shared" si="206"/>
        <v>4972</v>
      </c>
      <c r="S271" s="5">
        <f t="shared" si="206"/>
        <v>-2373</v>
      </c>
      <c r="T271" s="5">
        <f t="shared" si="206"/>
        <v>-2373</v>
      </c>
      <c r="U271" s="5">
        <f t="shared" si="206"/>
        <v>-2373</v>
      </c>
      <c r="V271" s="5">
        <f t="shared" si="206"/>
        <v>-2373</v>
      </c>
      <c r="W271" s="5">
        <f t="shared" si="206"/>
        <v>-2373</v>
      </c>
      <c r="X271" s="5">
        <f t="shared" si="206"/>
        <v>-2373</v>
      </c>
      <c r="Y271" s="5">
        <f t="shared" si="206"/>
        <v>-2373</v>
      </c>
      <c r="Z271" s="5">
        <f t="shared" si="206"/>
        <v>-3616</v>
      </c>
      <c r="AA271" s="264">
        <f t="shared" si="206"/>
        <v>7910</v>
      </c>
      <c r="AB271" s="5">
        <f t="shared" si="206"/>
        <v>-7119</v>
      </c>
      <c r="AC271" s="5">
        <f t="shared" si="206"/>
        <v>-58647</v>
      </c>
      <c r="AD271" s="5">
        <f t="shared" si="206"/>
        <v>72772</v>
      </c>
      <c r="AE271" s="5">
        <f t="shared" si="206"/>
        <v>-2373</v>
      </c>
      <c r="AF271" s="5">
        <f t="shared" si="206"/>
        <v>-2373</v>
      </c>
      <c r="AG271" s="5">
        <f t="shared" si="206"/>
        <v>-2373</v>
      </c>
      <c r="AH271" s="5">
        <f t="shared" si="206"/>
        <v>-2373</v>
      </c>
      <c r="AI271" s="5">
        <f t="shared" si="206"/>
        <v>-2373</v>
      </c>
      <c r="AJ271" s="5">
        <f t="shared" si="206"/>
        <v>-2373</v>
      </c>
      <c r="AK271" s="5">
        <f t="shared" si="206"/>
        <v>-2373</v>
      </c>
      <c r="AL271" s="5">
        <f t="shared" si="206"/>
        <v>-3616</v>
      </c>
      <c r="AM271" s="5">
        <f t="shared" si="206"/>
        <v>7910</v>
      </c>
      <c r="AN271" s="8"/>
      <c r="AO271" s="9"/>
      <c r="AP271" s="9"/>
      <c r="AQ271" s="9"/>
      <c r="AR271" s="9"/>
      <c r="AS271" s="9"/>
      <c r="AT271" s="9"/>
      <c r="AU271" s="9"/>
      <c r="AV271" s="9"/>
      <c r="AW271" s="9"/>
      <c r="AX271" s="9"/>
    </row>
    <row r="272" spans="1:50" ht="15.75" customHeight="1" x14ac:dyDescent="0.2">
      <c r="A272" s="177"/>
      <c r="B272" s="187"/>
      <c r="C272" s="187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264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264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8"/>
      <c r="AO272" s="9"/>
      <c r="AP272" s="9"/>
      <c r="AQ272" s="9"/>
      <c r="AR272" s="9"/>
      <c r="AS272" s="9"/>
      <c r="AT272" s="9"/>
      <c r="AU272" s="9"/>
      <c r="AV272" s="9"/>
      <c r="AW272" s="9"/>
      <c r="AX272" s="9"/>
    </row>
    <row r="273" spans="1:50" ht="15.75" customHeight="1" x14ac:dyDescent="0.2">
      <c r="A273" s="177"/>
      <c r="B273" s="248" t="s">
        <v>223</v>
      </c>
      <c r="C273" s="178"/>
      <c r="D273" s="169" t="s">
        <v>17</v>
      </c>
      <c r="E273" s="169" t="s">
        <v>18</v>
      </c>
      <c r="F273" s="169" t="s">
        <v>19</v>
      </c>
      <c r="G273" s="169" t="s">
        <v>20</v>
      </c>
      <c r="H273" s="169" t="s">
        <v>21</v>
      </c>
      <c r="I273" s="169" t="s">
        <v>22</v>
      </c>
      <c r="J273" s="169" t="s">
        <v>23</v>
      </c>
      <c r="K273" s="169" t="s">
        <v>24</v>
      </c>
      <c r="L273" s="169" t="s">
        <v>25</v>
      </c>
      <c r="M273" s="169" t="s">
        <v>14</v>
      </c>
      <c r="N273" s="169" t="s">
        <v>15</v>
      </c>
      <c r="O273" s="350" t="s">
        <v>16</v>
      </c>
      <c r="P273" s="169" t="s">
        <v>17</v>
      </c>
      <c r="Q273" s="169" t="s">
        <v>18</v>
      </c>
      <c r="R273" s="169" t="s">
        <v>19</v>
      </c>
      <c r="S273" s="169" t="s">
        <v>20</v>
      </c>
      <c r="T273" s="169" t="s">
        <v>21</v>
      </c>
      <c r="U273" s="169" t="s">
        <v>22</v>
      </c>
      <c r="V273" s="169" t="s">
        <v>23</v>
      </c>
      <c r="W273" s="169" t="s">
        <v>24</v>
      </c>
      <c r="X273" s="169" t="s">
        <v>25</v>
      </c>
      <c r="Y273" s="169" t="s">
        <v>14</v>
      </c>
      <c r="Z273" s="169" t="s">
        <v>15</v>
      </c>
      <c r="AA273" s="350" t="s">
        <v>16</v>
      </c>
      <c r="AB273" s="169" t="s">
        <v>17</v>
      </c>
      <c r="AC273" s="169" t="s">
        <v>18</v>
      </c>
      <c r="AD273" s="169" t="s">
        <v>19</v>
      </c>
      <c r="AE273" s="169" t="s">
        <v>20</v>
      </c>
      <c r="AF273" s="169" t="s">
        <v>21</v>
      </c>
      <c r="AG273" s="169" t="s">
        <v>22</v>
      </c>
      <c r="AH273" s="169" t="s">
        <v>23</v>
      </c>
      <c r="AI273" s="169" t="s">
        <v>24</v>
      </c>
      <c r="AJ273" s="169" t="s">
        <v>25</v>
      </c>
      <c r="AK273" s="169" t="s">
        <v>14</v>
      </c>
      <c r="AL273" s="169" t="s">
        <v>15</v>
      </c>
      <c r="AM273" s="169" t="s">
        <v>16</v>
      </c>
      <c r="AN273" s="8"/>
      <c r="AO273" s="9"/>
      <c r="AP273" s="9"/>
      <c r="AQ273" s="9"/>
      <c r="AR273" s="9"/>
      <c r="AS273" s="9"/>
      <c r="AT273" s="9"/>
      <c r="AU273" s="9"/>
      <c r="AV273" s="9"/>
      <c r="AW273" s="9"/>
      <c r="AX273" s="9"/>
    </row>
    <row r="274" spans="1:50" ht="15.75" customHeight="1" x14ac:dyDescent="0.2">
      <c r="A274" s="177"/>
      <c r="B274" s="24" t="s">
        <v>109</v>
      </c>
      <c r="C274" s="249"/>
      <c r="D274" s="5">
        <f t="shared" ref="D274:AM274" si="207">-30/(D76/((D275+D284)/2))</f>
        <v>88.585837793330583</v>
      </c>
      <c r="E274" s="5">
        <f t="shared" si="207"/>
        <v>166.27789046653143</v>
      </c>
      <c r="F274" s="5">
        <f t="shared" si="207"/>
        <v>31.150990099009899</v>
      </c>
      <c r="G274" s="5">
        <f t="shared" si="207"/>
        <v>20.824532900081234</v>
      </c>
      <c r="H274" s="5">
        <f t="shared" si="207"/>
        <v>23.724614134849716</v>
      </c>
      <c r="I274" s="5">
        <f t="shared" si="207"/>
        <v>27.233956133225021</v>
      </c>
      <c r="J274" s="5">
        <f t="shared" si="207"/>
        <v>30.743298131600326</v>
      </c>
      <c r="K274" s="5">
        <f t="shared" si="207"/>
        <v>37.29894394800975</v>
      </c>
      <c r="L274" s="5">
        <f t="shared" si="207"/>
        <v>43.854589764419167</v>
      </c>
      <c r="M274" s="5">
        <f t="shared" si="207"/>
        <v>50.410235580828598</v>
      </c>
      <c r="N274" s="5">
        <f t="shared" si="207"/>
        <v>75.388719512195124</v>
      </c>
      <c r="O274" s="264">
        <f t="shared" si="207"/>
        <v>39.50786358013783</v>
      </c>
      <c r="P274" s="5">
        <f t="shared" si="207"/>
        <v>66.500356379187465</v>
      </c>
      <c r="Q274" s="5">
        <f t="shared" si="207"/>
        <v>148.71428571428569</v>
      </c>
      <c r="R274" s="5">
        <f t="shared" si="207"/>
        <v>62.850182704019488</v>
      </c>
      <c r="S274" s="5">
        <f t="shared" si="207"/>
        <v>90.255889520714874</v>
      </c>
      <c r="T274" s="5">
        <f t="shared" si="207"/>
        <v>94.374492282696991</v>
      </c>
      <c r="U274" s="5">
        <f t="shared" si="207"/>
        <v>98.493095044679123</v>
      </c>
      <c r="V274" s="5">
        <f t="shared" si="207"/>
        <v>103.83021933387491</v>
      </c>
      <c r="W274" s="5">
        <f t="shared" si="207"/>
        <v>110.38586515028432</v>
      </c>
      <c r="X274" s="5">
        <f t="shared" si="207"/>
        <v>116.94151096669374</v>
      </c>
      <c r="Y274" s="5">
        <f t="shared" si="207"/>
        <v>123.49715678310316</v>
      </c>
      <c r="Z274" s="5">
        <f t="shared" si="207"/>
        <v>143.96341463414635</v>
      </c>
      <c r="AA274" s="264">
        <f t="shared" si="207"/>
        <v>69.979678388407848</v>
      </c>
      <c r="AB274" s="5">
        <f t="shared" si="207"/>
        <v>126.35067712045617</v>
      </c>
      <c r="AC274" s="5">
        <f t="shared" si="207"/>
        <v>280.71428571428572</v>
      </c>
      <c r="AD274" s="5">
        <f t="shared" si="207"/>
        <v>115.81607795371499</v>
      </c>
      <c r="AE274" s="5">
        <f t="shared" si="207"/>
        <v>162.12428919577579</v>
      </c>
      <c r="AF274" s="5">
        <f t="shared" si="207"/>
        <v>167.46141348497156</v>
      </c>
      <c r="AG274" s="5">
        <f t="shared" si="207"/>
        <v>174.01705930138101</v>
      </c>
      <c r="AH274" s="5">
        <f t="shared" si="207"/>
        <v>177.52640129975629</v>
      </c>
      <c r="AI274" s="5">
        <f t="shared" si="207"/>
        <v>181.03574329813159</v>
      </c>
      <c r="AJ274" s="5">
        <f t="shared" si="207"/>
        <v>187.59138911454102</v>
      </c>
      <c r="AK274" s="5">
        <f t="shared" si="207"/>
        <v>194.14703493095044</v>
      </c>
      <c r="AL274" s="5">
        <f t="shared" si="207"/>
        <v>210.2515243902439</v>
      </c>
      <c r="AM274" s="5">
        <f t="shared" si="207"/>
        <v>103.36720268598692</v>
      </c>
      <c r="AN274" s="8"/>
      <c r="AO274" s="9"/>
      <c r="AP274" s="9"/>
      <c r="AQ274" s="9"/>
      <c r="AR274" s="9"/>
      <c r="AS274" s="9"/>
      <c r="AT274" s="9"/>
      <c r="AU274" s="9"/>
      <c r="AV274" s="9"/>
      <c r="AW274" s="9"/>
      <c r="AX274" s="9"/>
    </row>
    <row r="275" spans="1:50" ht="15.75" customHeight="1" x14ac:dyDescent="0.2">
      <c r="A275" s="177"/>
      <c r="B275" s="186" t="s">
        <v>212</v>
      </c>
      <c r="C275" s="125">
        <v>63</v>
      </c>
      <c r="D275" s="185">
        <f>D276*$C275</f>
        <v>528381</v>
      </c>
      <c r="E275" s="185">
        <f t="shared" ref="E275:AM275" si="208">D284</f>
        <v>375354</v>
      </c>
      <c r="F275" s="185">
        <f t="shared" si="208"/>
        <v>313236</v>
      </c>
      <c r="G275" s="185">
        <f t="shared" si="208"/>
        <v>109620</v>
      </c>
      <c r="H275" s="185">
        <f t="shared" si="208"/>
        <v>105714</v>
      </c>
      <c r="I275" s="185">
        <f t="shared" si="208"/>
        <v>139608</v>
      </c>
      <c r="J275" s="185">
        <f t="shared" si="208"/>
        <v>142002</v>
      </c>
      <c r="K275" s="185">
        <f t="shared" si="208"/>
        <v>175896</v>
      </c>
      <c r="L275" s="185">
        <f t="shared" si="208"/>
        <v>209790</v>
      </c>
      <c r="M275" s="185">
        <f t="shared" si="208"/>
        <v>243684</v>
      </c>
      <c r="N275" s="185">
        <f t="shared" si="208"/>
        <v>277578</v>
      </c>
      <c r="O275" s="339">
        <f t="shared" si="208"/>
        <v>553266</v>
      </c>
      <c r="P275" s="185">
        <f t="shared" si="208"/>
        <v>385749</v>
      </c>
      <c r="Q275" s="185">
        <f t="shared" si="208"/>
        <v>397971</v>
      </c>
      <c r="R275" s="185">
        <f t="shared" si="208"/>
        <v>410886</v>
      </c>
      <c r="S275" s="185">
        <f t="shared" si="208"/>
        <v>455994</v>
      </c>
      <c r="T275" s="185">
        <f t="shared" si="208"/>
        <v>477288</v>
      </c>
      <c r="U275" s="185">
        <f t="shared" si="208"/>
        <v>498582</v>
      </c>
      <c r="V275" s="185">
        <f t="shared" si="208"/>
        <v>519876</v>
      </c>
      <c r="W275" s="185">
        <f t="shared" si="208"/>
        <v>553770</v>
      </c>
      <c r="X275" s="185">
        <f t="shared" si="208"/>
        <v>587664</v>
      </c>
      <c r="Y275" s="185">
        <f t="shared" si="208"/>
        <v>621558</v>
      </c>
      <c r="Z275" s="185">
        <f t="shared" si="208"/>
        <v>655452</v>
      </c>
      <c r="AA275" s="339">
        <f t="shared" si="208"/>
        <v>931140</v>
      </c>
      <c r="AB275" s="185">
        <f t="shared" si="208"/>
        <v>732123</v>
      </c>
      <c r="AC275" s="185">
        <f t="shared" si="208"/>
        <v>756945</v>
      </c>
      <c r="AD275" s="185">
        <f t="shared" si="208"/>
        <v>769860</v>
      </c>
      <c r="AE275" s="185">
        <f t="shared" si="208"/>
        <v>827568</v>
      </c>
      <c r="AF275" s="185">
        <f t="shared" si="208"/>
        <v>848862</v>
      </c>
      <c r="AG275" s="185">
        <f t="shared" si="208"/>
        <v>882756</v>
      </c>
      <c r="AH275" s="185">
        <f t="shared" si="208"/>
        <v>916650</v>
      </c>
      <c r="AI275" s="185">
        <f t="shared" si="208"/>
        <v>919044</v>
      </c>
      <c r="AJ275" s="185">
        <f t="shared" si="208"/>
        <v>952938</v>
      </c>
      <c r="AK275" s="185">
        <f t="shared" si="208"/>
        <v>986832</v>
      </c>
      <c r="AL275" s="185">
        <f t="shared" si="208"/>
        <v>1020726</v>
      </c>
      <c r="AM275" s="185">
        <f t="shared" si="208"/>
        <v>1296414</v>
      </c>
      <c r="AN275" s="8"/>
      <c r="AO275" s="498" t="s">
        <v>293</v>
      </c>
      <c r="AP275" s="477"/>
      <c r="AQ275" s="9"/>
      <c r="AR275" s="9"/>
      <c r="AS275" s="9"/>
      <c r="AT275" s="9"/>
      <c r="AU275" s="9"/>
      <c r="AV275" s="9"/>
      <c r="AW275" s="9"/>
      <c r="AX275" s="9"/>
    </row>
    <row r="276" spans="1:50" ht="15.75" customHeight="1" x14ac:dyDescent="0.2">
      <c r="A276" s="177"/>
      <c r="B276" s="139" t="s">
        <v>213</v>
      </c>
      <c r="C276" s="125">
        <f>8593-206</f>
        <v>8387</v>
      </c>
      <c r="D276" s="5">
        <f>C276</f>
        <v>8387</v>
      </c>
      <c r="E276" s="5">
        <f t="shared" ref="E276:AM276" si="209">D285</f>
        <v>5958</v>
      </c>
      <c r="F276" s="5">
        <f t="shared" si="209"/>
        <v>4972</v>
      </c>
      <c r="G276" s="351">
        <f t="shared" si="209"/>
        <v>1740</v>
      </c>
      <c r="H276" s="5">
        <f t="shared" si="209"/>
        <v>1678</v>
      </c>
      <c r="I276" s="5">
        <f t="shared" si="209"/>
        <v>2216</v>
      </c>
      <c r="J276" s="5">
        <f t="shared" si="209"/>
        <v>2254</v>
      </c>
      <c r="K276" s="5">
        <f t="shared" si="209"/>
        <v>2792</v>
      </c>
      <c r="L276" s="5">
        <f t="shared" si="209"/>
        <v>3330</v>
      </c>
      <c r="M276" s="5">
        <f t="shared" si="209"/>
        <v>3868</v>
      </c>
      <c r="N276" s="5">
        <f t="shared" si="209"/>
        <v>4406</v>
      </c>
      <c r="O276" s="264">
        <f t="shared" si="209"/>
        <v>8782</v>
      </c>
      <c r="P276" s="5">
        <f t="shared" si="209"/>
        <v>6123</v>
      </c>
      <c r="Q276" s="5">
        <f t="shared" si="209"/>
        <v>6317</v>
      </c>
      <c r="R276" s="5">
        <f t="shared" si="209"/>
        <v>6522</v>
      </c>
      <c r="S276" s="5">
        <f t="shared" si="209"/>
        <v>7238</v>
      </c>
      <c r="T276" s="5">
        <f t="shared" si="209"/>
        <v>7576</v>
      </c>
      <c r="U276" s="5">
        <f t="shared" si="209"/>
        <v>7914</v>
      </c>
      <c r="V276" s="5">
        <f t="shared" si="209"/>
        <v>8252</v>
      </c>
      <c r="W276" s="5">
        <f t="shared" si="209"/>
        <v>8790</v>
      </c>
      <c r="X276" s="5">
        <f t="shared" si="209"/>
        <v>9328</v>
      </c>
      <c r="Y276" s="5">
        <f t="shared" si="209"/>
        <v>9866</v>
      </c>
      <c r="Z276" s="5">
        <f t="shared" si="209"/>
        <v>10404</v>
      </c>
      <c r="AA276" s="264">
        <f t="shared" si="209"/>
        <v>14780</v>
      </c>
      <c r="AB276" s="5">
        <f t="shared" si="209"/>
        <v>11621</v>
      </c>
      <c r="AC276" s="5">
        <f t="shared" si="209"/>
        <v>12015</v>
      </c>
      <c r="AD276" s="5">
        <f t="shared" si="209"/>
        <v>12220</v>
      </c>
      <c r="AE276" s="5">
        <f t="shared" si="209"/>
        <v>13136</v>
      </c>
      <c r="AF276" s="5">
        <f t="shared" si="209"/>
        <v>13474</v>
      </c>
      <c r="AG276" s="5">
        <f t="shared" si="209"/>
        <v>14012</v>
      </c>
      <c r="AH276" s="5">
        <f t="shared" si="209"/>
        <v>14550</v>
      </c>
      <c r="AI276" s="5">
        <f t="shared" si="209"/>
        <v>14588</v>
      </c>
      <c r="AJ276" s="5">
        <f t="shared" si="209"/>
        <v>15126</v>
      </c>
      <c r="AK276" s="5">
        <f t="shared" si="209"/>
        <v>15664</v>
      </c>
      <c r="AL276" s="5">
        <f t="shared" si="209"/>
        <v>16202</v>
      </c>
      <c r="AM276" s="5">
        <f t="shared" si="209"/>
        <v>20578</v>
      </c>
      <c r="AN276" s="8"/>
      <c r="AO276" s="477"/>
      <c r="AP276" s="477"/>
      <c r="AQ276" s="9"/>
      <c r="AR276" s="9"/>
      <c r="AS276" s="9"/>
      <c r="AT276" s="9"/>
      <c r="AU276" s="9"/>
      <c r="AV276" s="9"/>
      <c r="AW276" s="9"/>
      <c r="AX276" s="9"/>
    </row>
    <row r="277" spans="1:50" ht="15.75" customHeight="1" x14ac:dyDescent="0.2">
      <c r="A277" s="177"/>
      <c r="B277" s="485" t="s">
        <v>214</v>
      </c>
      <c r="C277" s="477"/>
      <c r="D277" s="5">
        <f t="shared" ref="D277:AM277" si="210">D36</f>
        <v>2429</v>
      </c>
      <c r="E277" s="5">
        <f t="shared" si="210"/>
        <v>986</v>
      </c>
      <c r="F277" s="5">
        <f t="shared" si="210"/>
        <v>3232</v>
      </c>
      <c r="G277" s="5">
        <f t="shared" si="210"/>
        <v>2462</v>
      </c>
      <c r="H277" s="5">
        <f t="shared" si="210"/>
        <v>2462</v>
      </c>
      <c r="I277" s="5">
        <f t="shared" si="210"/>
        <v>2462</v>
      </c>
      <c r="J277" s="5">
        <f t="shared" si="210"/>
        <v>2462</v>
      </c>
      <c r="K277" s="5">
        <f t="shared" si="210"/>
        <v>2462</v>
      </c>
      <c r="L277" s="5">
        <f t="shared" si="210"/>
        <v>2462</v>
      </c>
      <c r="M277" s="5">
        <f t="shared" si="210"/>
        <v>2462</v>
      </c>
      <c r="N277" s="5">
        <f t="shared" si="210"/>
        <v>2624</v>
      </c>
      <c r="O277" s="264">
        <f t="shared" si="210"/>
        <v>5659</v>
      </c>
      <c r="P277" s="5">
        <f t="shared" si="210"/>
        <v>2806</v>
      </c>
      <c r="Q277" s="5">
        <f t="shared" si="210"/>
        <v>1295</v>
      </c>
      <c r="R277" s="5">
        <f t="shared" si="210"/>
        <v>3284</v>
      </c>
      <c r="S277" s="5">
        <f t="shared" si="210"/>
        <v>2462</v>
      </c>
      <c r="T277" s="5">
        <f t="shared" si="210"/>
        <v>2462</v>
      </c>
      <c r="U277" s="5">
        <f t="shared" si="210"/>
        <v>2462</v>
      </c>
      <c r="V277" s="5">
        <f t="shared" si="210"/>
        <v>2462</v>
      </c>
      <c r="W277" s="5">
        <f t="shared" si="210"/>
        <v>2462</v>
      </c>
      <c r="X277" s="5">
        <f t="shared" si="210"/>
        <v>2462</v>
      </c>
      <c r="Y277" s="5">
        <f t="shared" si="210"/>
        <v>2462</v>
      </c>
      <c r="Z277" s="5">
        <f t="shared" si="210"/>
        <v>2624</v>
      </c>
      <c r="AA277" s="264">
        <f t="shared" si="210"/>
        <v>5659</v>
      </c>
      <c r="AB277" s="5">
        <f t="shared" si="210"/>
        <v>2806</v>
      </c>
      <c r="AC277" s="5">
        <f t="shared" si="210"/>
        <v>1295</v>
      </c>
      <c r="AD277" s="5">
        <f t="shared" si="210"/>
        <v>3284</v>
      </c>
      <c r="AE277" s="5">
        <f t="shared" si="210"/>
        <v>2462</v>
      </c>
      <c r="AF277" s="5">
        <f t="shared" si="210"/>
        <v>2462</v>
      </c>
      <c r="AG277" s="5">
        <f t="shared" si="210"/>
        <v>2462</v>
      </c>
      <c r="AH277" s="5">
        <f t="shared" si="210"/>
        <v>2462</v>
      </c>
      <c r="AI277" s="5">
        <f t="shared" si="210"/>
        <v>2462</v>
      </c>
      <c r="AJ277" s="5">
        <f t="shared" si="210"/>
        <v>2462</v>
      </c>
      <c r="AK277" s="5">
        <f t="shared" si="210"/>
        <v>2462</v>
      </c>
      <c r="AL277" s="5">
        <f t="shared" si="210"/>
        <v>2624</v>
      </c>
      <c r="AM277" s="5">
        <f t="shared" si="210"/>
        <v>5659</v>
      </c>
      <c r="AN277" s="8"/>
      <c r="AO277" s="477"/>
      <c r="AP277" s="477"/>
      <c r="AQ277" s="9"/>
      <c r="AR277" s="9"/>
      <c r="AS277" s="9"/>
      <c r="AT277" s="9"/>
      <c r="AU277" s="9"/>
      <c r="AV277" s="9"/>
      <c r="AW277" s="9"/>
      <c r="AX277" s="9"/>
    </row>
    <row r="278" spans="1:50" ht="15.75" customHeight="1" x14ac:dyDescent="0.2">
      <c r="A278" s="177"/>
      <c r="B278" s="46" t="s">
        <v>215</v>
      </c>
      <c r="C278" s="125">
        <v>63</v>
      </c>
      <c r="D278" s="5">
        <f t="shared" ref="D278:AM278" si="211">D277*$C278</f>
        <v>153027</v>
      </c>
      <c r="E278" s="5">
        <f t="shared" si="211"/>
        <v>62118</v>
      </c>
      <c r="F278" s="5">
        <f t="shared" si="211"/>
        <v>203616</v>
      </c>
      <c r="G278" s="5">
        <f t="shared" si="211"/>
        <v>155106</v>
      </c>
      <c r="H278" s="5">
        <f t="shared" si="211"/>
        <v>155106</v>
      </c>
      <c r="I278" s="5">
        <f t="shared" si="211"/>
        <v>155106</v>
      </c>
      <c r="J278" s="5">
        <f t="shared" si="211"/>
        <v>155106</v>
      </c>
      <c r="K278" s="5">
        <f t="shared" si="211"/>
        <v>155106</v>
      </c>
      <c r="L278" s="5">
        <f t="shared" si="211"/>
        <v>155106</v>
      </c>
      <c r="M278" s="5">
        <f t="shared" si="211"/>
        <v>155106</v>
      </c>
      <c r="N278" s="5">
        <f t="shared" si="211"/>
        <v>165312</v>
      </c>
      <c r="O278" s="264">
        <f t="shared" si="211"/>
        <v>356517</v>
      </c>
      <c r="P278" s="5">
        <f t="shared" si="211"/>
        <v>176778</v>
      </c>
      <c r="Q278" s="5">
        <f t="shared" si="211"/>
        <v>81585</v>
      </c>
      <c r="R278" s="5">
        <f t="shared" si="211"/>
        <v>206892</v>
      </c>
      <c r="S278" s="5">
        <f t="shared" si="211"/>
        <v>155106</v>
      </c>
      <c r="T278" s="5">
        <f t="shared" si="211"/>
        <v>155106</v>
      </c>
      <c r="U278" s="5">
        <f t="shared" si="211"/>
        <v>155106</v>
      </c>
      <c r="V278" s="5">
        <f t="shared" si="211"/>
        <v>155106</v>
      </c>
      <c r="W278" s="5">
        <f t="shared" si="211"/>
        <v>155106</v>
      </c>
      <c r="X278" s="5">
        <f t="shared" si="211"/>
        <v>155106</v>
      </c>
      <c r="Y278" s="5">
        <f t="shared" si="211"/>
        <v>155106</v>
      </c>
      <c r="Z278" s="5">
        <f t="shared" si="211"/>
        <v>165312</v>
      </c>
      <c r="AA278" s="264">
        <f t="shared" si="211"/>
        <v>356517</v>
      </c>
      <c r="AB278" s="5">
        <f t="shared" si="211"/>
        <v>176778</v>
      </c>
      <c r="AC278" s="5">
        <f t="shared" si="211"/>
        <v>81585</v>
      </c>
      <c r="AD278" s="5">
        <f t="shared" si="211"/>
        <v>206892</v>
      </c>
      <c r="AE278" s="5">
        <f t="shared" si="211"/>
        <v>155106</v>
      </c>
      <c r="AF278" s="5">
        <f t="shared" si="211"/>
        <v>155106</v>
      </c>
      <c r="AG278" s="5">
        <f t="shared" si="211"/>
        <v>155106</v>
      </c>
      <c r="AH278" s="5">
        <f t="shared" si="211"/>
        <v>155106</v>
      </c>
      <c r="AI278" s="5">
        <f t="shared" si="211"/>
        <v>155106</v>
      </c>
      <c r="AJ278" s="5">
        <f t="shared" si="211"/>
        <v>155106</v>
      </c>
      <c r="AK278" s="5">
        <f t="shared" si="211"/>
        <v>155106</v>
      </c>
      <c r="AL278" s="5">
        <f t="shared" si="211"/>
        <v>165312</v>
      </c>
      <c r="AM278" s="5">
        <f t="shared" si="211"/>
        <v>356517</v>
      </c>
      <c r="AN278" s="8"/>
      <c r="AO278" s="477"/>
      <c r="AP278" s="477"/>
      <c r="AQ278" s="9"/>
      <c r="AR278" s="9"/>
      <c r="AS278" s="9"/>
      <c r="AT278" s="9"/>
      <c r="AU278" s="9"/>
      <c r="AV278" s="9"/>
      <c r="AW278" s="9"/>
      <c r="AX278" s="9"/>
    </row>
    <row r="279" spans="1:50" ht="15.75" customHeight="1" x14ac:dyDescent="0.2">
      <c r="A279" s="177"/>
      <c r="B279" s="252" t="s">
        <v>216</v>
      </c>
      <c r="C279" s="125">
        <v>63</v>
      </c>
      <c r="D279" s="185">
        <f t="shared" ref="D279:AM279" si="212">D280*$C279</f>
        <v>375354</v>
      </c>
      <c r="E279" s="185">
        <f t="shared" si="212"/>
        <v>313236</v>
      </c>
      <c r="F279" s="185">
        <f t="shared" si="212"/>
        <v>109620</v>
      </c>
      <c r="G279" s="185">
        <f t="shared" si="212"/>
        <v>-45486</v>
      </c>
      <c r="H279" s="185">
        <f t="shared" si="212"/>
        <v>-49392</v>
      </c>
      <c r="I279" s="185">
        <f t="shared" si="212"/>
        <v>-15498</v>
      </c>
      <c r="J279" s="185">
        <f t="shared" si="212"/>
        <v>-13104</v>
      </c>
      <c r="K279" s="185">
        <f t="shared" si="212"/>
        <v>20790</v>
      </c>
      <c r="L279" s="185">
        <f t="shared" si="212"/>
        <v>54684</v>
      </c>
      <c r="M279" s="185">
        <f t="shared" si="212"/>
        <v>88578</v>
      </c>
      <c r="N279" s="185">
        <f t="shared" si="212"/>
        <v>112266</v>
      </c>
      <c r="O279" s="339">
        <f t="shared" si="212"/>
        <v>196749</v>
      </c>
      <c r="P279" s="185">
        <f t="shared" si="212"/>
        <v>208971</v>
      </c>
      <c r="Q279" s="185">
        <f t="shared" si="212"/>
        <v>316386</v>
      </c>
      <c r="R279" s="185">
        <f t="shared" si="212"/>
        <v>203994</v>
      </c>
      <c r="S279" s="185">
        <f t="shared" si="212"/>
        <v>300888</v>
      </c>
      <c r="T279" s="185">
        <f t="shared" si="212"/>
        <v>322182</v>
      </c>
      <c r="U279" s="185">
        <f t="shared" si="212"/>
        <v>343476</v>
      </c>
      <c r="V279" s="185">
        <f t="shared" si="212"/>
        <v>364770</v>
      </c>
      <c r="W279" s="185">
        <f t="shared" si="212"/>
        <v>398664</v>
      </c>
      <c r="X279" s="185">
        <f t="shared" si="212"/>
        <v>432558</v>
      </c>
      <c r="Y279" s="185">
        <f t="shared" si="212"/>
        <v>466452</v>
      </c>
      <c r="Z279" s="185">
        <f t="shared" si="212"/>
        <v>490140</v>
      </c>
      <c r="AA279" s="339">
        <f t="shared" si="212"/>
        <v>574623</v>
      </c>
      <c r="AB279" s="185">
        <f t="shared" si="212"/>
        <v>555345</v>
      </c>
      <c r="AC279" s="185">
        <f t="shared" si="212"/>
        <v>675360</v>
      </c>
      <c r="AD279" s="185">
        <f t="shared" si="212"/>
        <v>562968</v>
      </c>
      <c r="AE279" s="185">
        <f t="shared" si="212"/>
        <v>672462</v>
      </c>
      <c r="AF279" s="185">
        <f t="shared" si="212"/>
        <v>693756</v>
      </c>
      <c r="AG279" s="185">
        <f t="shared" si="212"/>
        <v>727650</v>
      </c>
      <c r="AH279" s="185">
        <f t="shared" si="212"/>
        <v>761544</v>
      </c>
      <c r="AI279" s="185">
        <f t="shared" si="212"/>
        <v>763938</v>
      </c>
      <c r="AJ279" s="185">
        <f t="shared" si="212"/>
        <v>797832</v>
      </c>
      <c r="AK279" s="185">
        <f t="shared" si="212"/>
        <v>831726</v>
      </c>
      <c r="AL279" s="185">
        <f t="shared" si="212"/>
        <v>855414</v>
      </c>
      <c r="AM279" s="185">
        <f t="shared" si="212"/>
        <v>939897</v>
      </c>
      <c r="AN279" s="8"/>
      <c r="AO279" s="477"/>
      <c r="AP279" s="477"/>
      <c r="AQ279" s="9"/>
      <c r="AR279" s="9"/>
      <c r="AS279" s="9"/>
      <c r="AT279" s="9"/>
      <c r="AU279" s="9"/>
      <c r="AV279" s="9"/>
      <c r="AW279" s="9"/>
      <c r="AX279" s="9"/>
    </row>
    <row r="280" spans="1:50" ht="15.75" customHeight="1" x14ac:dyDescent="0.2">
      <c r="A280" s="177"/>
      <c r="B280" s="139" t="s">
        <v>217</v>
      </c>
      <c r="C280" s="127"/>
      <c r="D280" s="5">
        <f t="shared" ref="D280:AM280" si="213">D276-D277</f>
        <v>5958</v>
      </c>
      <c r="E280" s="5">
        <f t="shared" si="213"/>
        <v>4972</v>
      </c>
      <c r="F280" s="5">
        <f t="shared" si="213"/>
        <v>1740</v>
      </c>
      <c r="G280" s="5">
        <f t="shared" si="213"/>
        <v>-722</v>
      </c>
      <c r="H280" s="5">
        <f t="shared" si="213"/>
        <v>-784</v>
      </c>
      <c r="I280" s="5">
        <f t="shared" si="213"/>
        <v>-246</v>
      </c>
      <c r="J280" s="5">
        <f t="shared" si="213"/>
        <v>-208</v>
      </c>
      <c r="K280" s="5">
        <f t="shared" si="213"/>
        <v>330</v>
      </c>
      <c r="L280" s="5">
        <f t="shared" si="213"/>
        <v>868</v>
      </c>
      <c r="M280" s="5">
        <f t="shared" si="213"/>
        <v>1406</v>
      </c>
      <c r="N280" s="5">
        <f t="shared" si="213"/>
        <v>1782</v>
      </c>
      <c r="O280" s="264">
        <f t="shared" si="213"/>
        <v>3123</v>
      </c>
      <c r="P280" s="5">
        <f t="shared" si="213"/>
        <v>3317</v>
      </c>
      <c r="Q280" s="5">
        <f t="shared" si="213"/>
        <v>5022</v>
      </c>
      <c r="R280" s="5">
        <f t="shared" si="213"/>
        <v>3238</v>
      </c>
      <c r="S280" s="5">
        <f t="shared" si="213"/>
        <v>4776</v>
      </c>
      <c r="T280" s="5">
        <f t="shared" si="213"/>
        <v>5114</v>
      </c>
      <c r="U280" s="5">
        <f t="shared" si="213"/>
        <v>5452</v>
      </c>
      <c r="V280" s="5">
        <f t="shared" si="213"/>
        <v>5790</v>
      </c>
      <c r="W280" s="5">
        <f t="shared" si="213"/>
        <v>6328</v>
      </c>
      <c r="X280" s="5">
        <f t="shared" si="213"/>
        <v>6866</v>
      </c>
      <c r="Y280" s="5">
        <f t="shared" si="213"/>
        <v>7404</v>
      </c>
      <c r="Z280" s="5">
        <f t="shared" si="213"/>
        <v>7780</v>
      </c>
      <c r="AA280" s="264">
        <f t="shared" si="213"/>
        <v>9121</v>
      </c>
      <c r="AB280" s="5">
        <f t="shared" si="213"/>
        <v>8815</v>
      </c>
      <c r="AC280" s="5">
        <f t="shared" si="213"/>
        <v>10720</v>
      </c>
      <c r="AD280" s="5">
        <f t="shared" si="213"/>
        <v>8936</v>
      </c>
      <c r="AE280" s="5">
        <f t="shared" si="213"/>
        <v>10674</v>
      </c>
      <c r="AF280" s="5">
        <f t="shared" si="213"/>
        <v>11012</v>
      </c>
      <c r="AG280" s="5">
        <f t="shared" si="213"/>
        <v>11550</v>
      </c>
      <c r="AH280" s="5">
        <f t="shared" si="213"/>
        <v>12088</v>
      </c>
      <c r="AI280" s="5">
        <f t="shared" si="213"/>
        <v>12126</v>
      </c>
      <c r="AJ280" s="5">
        <f t="shared" si="213"/>
        <v>12664</v>
      </c>
      <c r="AK280" s="5">
        <f t="shared" si="213"/>
        <v>13202</v>
      </c>
      <c r="AL280" s="5">
        <f t="shared" si="213"/>
        <v>13578</v>
      </c>
      <c r="AM280" s="5">
        <f t="shared" si="213"/>
        <v>14919</v>
      </c>
      <c r="AN280" s="8"/>
      <c r="AO280" s="477"/>
      <c r="AP280" s="477"/>
      <c r="AQ280" s="9"/>
      <c r="AR280" s="9"/>
      <c r="AS280" s="9"/>
      <c r="AT280" s="9"/>
      <c r="AU280" s="9"/>
      <c r="AV280" s="9"/>
      <c r="AW280" s="9"/>
      <c r="AX280" s="9"/>
    </row>
    <row r="281" spans="1:50" ht="15.75" customHeight="1" x14ac:dyDescent="0.2">
      <c r="A281" s="177"/>
      <c r="B281" s="252" t="s">
        <v>218</v>
      </c>
      <c r="C281" s="127"/>
      <c r="D281" s="183">
        <v>0</v>
      </c>
      <c r="E281" s="183">
        <v>0</v>
      </c>
      <c r="F281" s="185">
        <f t="shared" ref="F281:AM281" si="214">F282*F283</f>
        <v>0</v>
      </c>
      <c r="G281" s="185">
        <f t="shared" si="214"/>
        <v>151200</v>
      </c>
      <c r="H281" s="185">
        <f t="shared" si="214"/>
        <v>189000</v>
      </c>
      <c r="I281" s="185">
        <f t="shared" si="214"/>
        <v>157500</v>
      </c>
      <c r="J281" s="185">
        <f t="shared" si="214"/>
        <v>189000</v>
      </c>
      <c r="K281" s="185">
        <f t="shared" si="214"/>
        <v>189000</v>
      </c>
      <c r="L281" s="185">
        <f t="shared" si="214"/>
        <v>189000</v>
      </c>
      <c r="M281" s="185">
        <f t="shared" si="214"/>
        <v>189000</v>
      </c>
      <c r="N281" s="185">
        <f t="shared" si="214"/>
        <v>441000</v>
      </c>
      <c r="O281" s="339">
        <f t="shared" si="214"/>
        <v>189000</v>
      </c>
      <c r="P281" s="185">
        <f t="shared" si="214"/>
        <v>189000</v>
      </c>
      <c r="Q281" s="185">
        <f t="shared" si="214"/>
        <v>94500</v>
      </c>
      <c r="R281" s="185">
        <f t="shared" si="214"/>
        <v>252000</v>
      </c>
      <c r="S281" s="185">
        <f t="shared" si="214"/>
        <v>176400</v>
      </c>
      <c r="T281" s="185">
        <f t="shared" si="214"/>
        <v>176400</v>
      </c>
      <c r="U281" s="185">
        <f t="shared" si="214"/>
        <v>176400</v>
      </c>
      <c r="V281" s="185">
        <f t="shared" si="214"/>
        <v>189000</v>
      </c>
      <c r="W281" s="185">
        <f t="shared" si="214"/>
        <v>189000</v>
      </c>
      <c r="X281" s="185">
        <f t="shared" si="214"/>
        <v>189000</v>
      </c>
      <c r="Y281" s="185">
        <f t="shared" si="214"/>
        <v>189000</v>
      </c>
      <c r="Z281" s="185">
        <f t="shared" si="214"/>
        <v>441000</v>
      </c>
      <c r="AA281" s="339">
        <f t="shared" si="214"/>
        <v>157500</v>
      </c>
      <c r="AB281" s="185">
        <f t="shared" si="214"/>
        <v>201600</v>
      </c>
      <c r="AC281" s="185">
        <f t="shared" si="214"/>
        <v>94500</v>
      </c>
      <c r="AD281" s="185">
        <f t="shared" si="214"/>
        <v>264600</v>
      </c>
      <c r="AE281" s="185">
        <f t="shared" si="214"/>
        <v>176400</v>
      </c>
      <c r="AF281" s="185">
        <f t="shared" si="214"/>
        <v>189000</v>
      </c>
      <c r="AG281" s="185">
        <f t="shared" si="214"/>
        <v>189000</v>
      </c>
      <c r="AH281" s="185">
        <f t="shared" si="214"/>
        <v>157500</v>
      </c>
      <c r="AI281" s="185">
        <f t="shared" si="214"/>
        <v>189000</v>
      </c>
      <c r="AJ281" s="185">
        <f t="shared" si="214"/>
        <v>189000</v>
      </c>
      <c r="AK281" s="185">
        <f t="shared" si="214"/>
        <v>189000</v>
      </c>
      <c r="AL281" s="185">
        <f t="shared" si="214"/>
        <v>441000</v>
      </c>
      <c r="AM281" s="185">
        <f t="shared" si="214"/>
        <v>220500</v>
      </c>
      <c r="AN281" s="8"/>
      <c r="AO281" s="477"/>
      <c r="AP281" s="477"/>
      <c r="AQ281" s="9"/>
      <c r="AR281" s="9"/>
      <c r="AS281" s="9"/>
      <c r="AT281" s="9"/>
      <c r="AU281" s="9"/>
      <c r="AV281" s="9"/>
      <c r="AW281" s="9"/>
      <c r="AX281" s="9"/>
    </row>
    <row r="282" spans="1:50" ht="15.75" customHeight="1" x14ac:dyDescent="0.2">
      <c r="A282" s="352"/>
      <c r="B282" s="353" t="s">
        <v>219</v>
      </c>
      <c r="C282" s="354"/>
      <c r="D282" s="356"/>
      <c r="E282" s="356"/>
      <c r="F282" s="355"/>
      <c r="G282" s="355">
        <v>2400</v>
      </c>
      <c r="H282" s="355">
        <v>3000</v>
      </c>
      <c r="I282" s="355">
        <v>2500</v>
      </c>
      <c r="J282" s="355">
        <v>3000</v>
      </c>
      <c r="K282" s="355">
        <v>3000</v>
      </c>
      <c r="L282" s="355">
        <v>3000</v>
      </c>
      <c r="M282" s="355">
        <v>3000</v>
      </c>
      <c r="N282" s="355">
        <v>7000</v>
      </c>
      <c r="O282" s="357">
        <v>3000</v>
      </c>
      <c r="P282" s="355">
        <v>3000</v>
      </c>
      <c r="Q282" s="355">
        <v>1500</v>
      </c>
      <c r="R282" s="355">
        <v>4000</v>
      </c>
      <c r="S282" s="355">
        <v>2800</v>
      </c>
      <c r="T282" s="355">
        <v>2800</v>
      </c>
      <c r="U282" s="355">
        <v>2800</v>
      </c>
      <c r="V282" s="355">
        <v>3000</v>
      </c>
      <c r="W282" s="355">
        <v>3000</v>
      </c>
      <c r="X282" s="355">
        <v>3000</v>
      </c>
      <c r="Y282" s="355">
        <v>3000</v>
      </c>
      <c r="Z282" s="355">
        <v>7000</v>
      </c>
      <c r="AA282" s="357">
        <v>2500</v>
      </c>
      <c r="AB282" s="355">
        <v>3200</v>
      </c>
      <c r="AC282" s="355">
        <v>1500</v>
      </c>
      <c r="AD282" s="355">
        <v>4200</v>
      </c>
      <c r="AE282" s="355">
        <v>2800</v>
      </c>
      <c r="AF282" s="355">
        <v>3000</v>
      </c>
      <c r="AG282" s="355">
        <v>3000</v>
      </c>
      <c r="AH282" s="355">
        <v>2500</v>
      </c>
      <c r="AI282" s="355">
        <v>3000</v>
      </c>
      <c r="AJ282" s="355">
        <v>3000</v>
      </c>
      <c r="AK282" s="355">
        <v>3000</v>
      </c>
      <c r="AL282" s="355">
        <v>7000</v>
      </c>
      <c r="AM282" s="355">
        <v>3500</v>
      </c>
      <c r="AN282" s="358"/>
      <c r="AO282" s="477"/>
      <c r="AP282" s="477"/>
      <c r="AQ282" s="359"/>
      <c r="AR282" s="359"/>
      <c r="AS282" s="359"/>
      <c r="AT282" s="359"/>
      <c r="AU282" s="359"/>
      <c r="AV282" s="359"/>
      <c r="AW282" s="359"/>
      <c r="AX282" s="360"/>
    </row>
    <row r="283" spans="1:50" ht="15.75" customHeight="1" x14ac:dyDescent="0.2">
      <c r="A283" s="177"/>
      <c r="B283" s="166" t="s">
        <v>220</v>
      </c>
      <c r="C283" s="127"/>
      <c r="D283" s="5"/>
      <c r="E283" s="5"/>
      <c r="F283" s="5"/>
      <c r="G283" s="5">
        <f t="shared" ref="G283:AM283" si="215">$C279</f>
        <v>63</v>
      </c>
      <c r="H283" s="5">
        <f t="shared" si="215"/>
        <v>63</v>
      </c>
      <c r="I283" s="5">
        <f t="shared" si="215"/>
        <v>63</v>
      </c>
      <c r="J283" s="5">
        <f t="shared" si="215"/>
        <v>63</v>
      </c>
      <c r="K283" s="5">
        <f t="shared" si="215"/>
        <v>63</v>
      </c>
      <c r="L283" s="5">
        <f t="shared" si="215"/>
        <v>63</v>
      </c>
      <c r="M283" s="5">
        <f t="shared" si="215"/>
        <v>63</v>
      </c>
      <c r="N283" s="5">
        <f t="shared" si="215"/>
        <v>63</v>
      </c>
      <c r="O283" s="264">
        <f t="shared" si="215"/>
        <v>63</v>
      </c>
      <c r="P283" s="5">
        <f t="shared" si="215"/>
        <v>63</v>
      </c>
      <c r="Q283" s="5">
        <f t="shared" si="215"/>
        <v>63</v>
      </c>
      <c r="R283" s="5">
        <f t="shared" si="215"/>
        <v>63</v>
      </c>
      <c r="S283" s="5">
        <f t="shared" si="215"/>
        <v>63</v>
      </c>
      <c r="T283" s="5">
        <f t="shared" si="215"/>
        <v>63</v>
      </c>
      <c r="U283" s="5">
        <f t="shared" si="215"/>
        <v>63</v>
      </c>
      <c r="V283" s="5">
        <f t="shared" si="215"/>
        <v>63</v>
      </c>
      <c r="W283" s="5">
        <f t="shared" si="215"/>
        <v>63</v>
      </c>
      <c r="X283" s="5">
        <f t="shared" si="215"/>
        <v>63</v>
      </c>
      <c r="Y283" s="5">
        <f t="shared" si="215"/>
        <v>63</v>
      </c>
      <c r="Z283" s="5">
        <f t="shared" si="215"/>
        <v>63</v>
      </c>
      <c r="AA283" s="264">
        <f t="shared" si="215"/>
        <v>63</v>
      </c>
      <c r="AB283" s="5">
        <f t="shared" si="215"/>
        <v>63</v>
      </c>
      <c r="AC283" s="5">
        <f t="shared" si="215"/>
        <v>63</v>
      </c>
      <c r="AD283" s="5">
        <f t="shared" si="215"/>
        <v>63</v>
      </c>
      <c r="AE283" s="5">
        <f t="shared" si="215"/>
        <v>63</v>
      </c>
      <c r="AF283" s="5">
        <f t="shared" si="215"/>
        <v>63</v>
      </c>
      <c r="AG283" s="5">
        <f t="shared" si="215"/>
        <v>63</v>
      </c>
      <c r="AH283" s="5">
        <f t="shared" si="215"/>
        <v>63</v>
      </c>
      <c r="AI283" s="5">
        <f t="shared" si="215"/>
        <v>63</v>
      </c>
      <c r="AJ283" s="5">
        <f t="shared" si="215"/>
        <v>63</v>
      </c>
      <c r="AK283" s="5">
        <f t="shared" si="215"/>
        <v>63</v>
      </c>
      <c r="AL283" s="5">
        <f t="shared" si="215"/>
        <v>63</v>
      </c>
      <c r="AM283" s="5">
        <f t="shared" si="215"/>
        <v>63</v>
      </c>
      <c r="AN283" s="8"/>
      <c r="AO283" s="9"/>
      <c r="AP283" s="9"/>
      <c r="AQ283" s="9"/>
      <c r="AR283" s="9"/>
      <c r="AS283" s="9"/>
      <c r="AT283" s="9"/>
      <c r="AU283" s="9"/>
      <c r="AV283" s="9"/>
      <c r="AW283" s="9"/>
      <c r="AX283" s="9"/>
    </row>
    <row r="284" spans="1:50" ht="15.75" customHeight="1" x14ac:dyDescent="0.2">
      <c r="A284" s="177"/>
      <c r="B284" s="252" t="s">
        <v>221</v>
      </c>
      <c r="C284" s="125">
        <v>63</v>
      </c>
      <c r="D284" s="185">
        <f t="shared" ref="D284:AM284" si="216">D285*$C284</f>
        <v>375354</v>
      </c>
      <c r="E284" s="185">
        <f t="shared" si="216"/>
        <v>313236</v>
      </c>
      <c r="F284" s="185">
        <f t="shared" si="216"/>
        <v>109620</v>
      </c>
      <c r="G284" s="185">
        <f t="shared" si="216"/>
        <v>105714</v>
      </c>
      <c r="H284" s="185">
        <f t="shared" si="216"/>
        <v>139608</v>
      </c>
      <c r="I284" s="185">
        <f t="shared" si="216"/>
        <v>142002</v>
      </c>
      <c r="J284" s="185">
        <f t="shared" si="216"/>
        <v>175896</v>
      </c>
      <c r="K284" s="185">
        <f t="shared" si="216"/>
        <v>209790</v>
      </c>
      <c r="L284" s="185">
        <f t="shared" si="216"/>
        <v>243684</v>
      </c>
      <c r="M284" s="185">
        <f t="shared" si="216"/>
        <v>277578</v>
      </c>
      <c r="N284" s="185">
        <f t="shared" si="216"/>
        <v>553266</v>
      </c>
      <c r="O284" s="339">
        <f t="shared" si="216"/>
        <v>385749</v>
      </c>
      <c r="P284" s="185">
        <f t="shared" si="216"/>
        <v>397971</v>
      </c>
      <c r="Q284" s="185">
        <f t="shared" si="216"/>
        <v>410886</v>
      </c>
      <c r="R284" s="185">
        <f t="shared" si="216"/>
        <v>455994</v>
      </c>
      <c r="S284" s="185">
        <f t="shared" si="216"/>
        <v>477288</v>
      </c>
      <c r="T284" s="185">
        <f t="shared" si="216"/>
        <v>498582</v>
      </c>
      <c r="U284" s="185">
        <f t="shared" si="216"/>
        <v>519876</v>
      </c>
      <c r="V284" s="185">
        <f t="shared" si="216"/>
        <v>553770</v>
      </c>
      <c r="W284" s="185">
        <f t="shared" si="216"/>
        <v>587664</v>
      </c>
      <c r="X284" s="185">
        <f t="shared" si="216"/>
        <v>621558</v>
      </c>
      <c r="Y284" s="185">
        <f t="shared" si="216"/>
        <v>655452</v>
      </c>
      <c r="Z284" s="185">
        <f t="shared" si="216"/>
        <v>931140</v>
      </c>
      <c r="AA284" s="339">
        <f t="shared" si="216"/>
        <v>732123</v>
      </c>
      <c r="AB284" s="185">
        <f t="shared" si="216"/>
        <v>756945</v>
      </c>
      <c r="AC284" s="185">
        <f t="shared" si="216"/>
        <v>769860</v>
      </c>
      <c r="AD284" s="185">
        <f t="shared" si="216"/>
        <v>827568</v>
      </c>
      <c r="AE284" s="185">
        <f t="shared" si="216"/>
        <v>848862</v>
      </c>
      <c r="AF284" s="185">
        <f t="shared" si="216"/>
        <v>882756</v>
      </c>
      <c r="AG284" s="185">
        <f t="shared" si="216"/>
        <v>916650</v>
      </c>
      <c r="AH284" s="185">
        <f t="shared" si="216"/>
        <v>919044</v>
      </c>
      <c r="AI284" s="185">
        <f t="shared" si="216"/>
        <v>952938</v>
      </c>
      <c r="AJ284" s="185">
        <f t="shared" si="216"/>
        <v>986832</v>
      </c>
      <c r="AK284" s="185">
        <f t="shared" si="216"/>
        <v>1020726</v>
      </c>
      <c r="AL284" s="185">
        <f t="shared" si="216"/>
        <v>1296414</v>
      </c>
      <c r="AM284" s="185">
        <f t="shared" si="216"/>
        <v>1160397</v>
      </c>
      <c r="AN284" s="8"/>
      <c r="AO284" s="9"/>
      <c r="AP284" s="9"/>
      <c r="AQ284" s="9"/>
      <c r="AR284" s="9"/>
      <c r="AS284" s="9"/>
      <c r="AT284" s="9"/>
      <c r="AU284" s="9"/>
      <c r="AV284" s="9"/>
      <c r="AW284" s="9"/>
      <c r="AX284" s="9"/>
    </row>
    <row r="285" spans="1:50" ht="15.75" customHeight="1" x14ac:dyDescent="0.2">
      <c r="A285" s="177"/>
      <c r="B285" s="255" t="s">
        <v>222</v>
      </c>
      <c r="C285" s="127"/>
      <c r="D285" s="6">
        <f t="shared" ref="D285:AM285" si="217">D280+D282</f>
        <v>5958</v>
      </c>
      <c r="E285" s="6">
        <f t="shared" si="217"/>
        <v>4972</v>
      </c>
      <c r="F285" s="6">
        <f t="shared" si="217"/>
        <v>1740</v>
      </c>
      <c r="G285" s="6">
        <f t="shared" si="217"/>
        <v>1678</v>
      </c>
      <c r="H285" s="6">
        <f t="shared" si="217"/>
        <v>2216</v>
      </c>
      <c r="I285" s="6">
        <f t="shared" si="217"/>
        <v>2254</v>
      </c>
      <c r="J285" s="6">
        <f t="shared" si="217"/>
        <v>2792</v>
      </c>
      <c r="K285" s="6">
        <f t="shared" si="217"/>
        <v>3330</v>
      </c>
      <c r="L285" s="6">
        <f t="shared" si="217"/>
        <v>3868</v>
      </c>
      <c r="M285" s="6">
        <f t="shared" si="217"/>
        <v>4406</v>
      </c>
      <c r="N285" s="6">
        <f t="shared" si="217"/>
        <v>8782</v>
      </c>
      <c r="O285" s="321">
        <f t="shared" si="217"/>
        <v>6123</v>
      </c>
      <c r="P285" s="6">
        <f t="shared" si="217"/>
        <v>6317</v>
      </c>
      <c r="Q285" s="6">
        <f t="shared" si="217"/>
        <v>6522</v>
      </c>
      <c r="R285" s="6">
        <f t="shared" si="217"/>
        <v>7238</v>
      </c>
      <c r="S285" s="6">
        <f t="shared" si="217"/>
        <v>7576</v>
      </c>
      <c r="T285" s="6">
        <f t="shared" si="217"/>
        <v>7914</v>
      </c>
      <c r="U285" s="6">
        <f t="shared" si="217"/>
        <v>8252</v>
      </c>
      <c r="V285" s="6">
        <f t="shared" si="217"/>
        <v>8790</v>
      </c>
      <c r="W285" s="6">
        <f t="shared" si="217"/>
        <v>9328</v>
      </c>
      <c r="X285" s="6">
        <f t="shared" si="217"/>
        <v>9866</v>
      </c>
      <c r="Y285" s="6">
        <f t="shared" si="217"/>
        <v>10404</v>
      </c>
      <c r="Z285" s="6">
        <f t="shared" si="217"/>
        <v>14780</v>
      </c>
      <c r="AA285" s="321">
        <f t="shared" si="217"/>
        <v>11621</v>
      </c>
      <c r="AB285" s="6">
        <f t="shared" si="217"/>
        <v>12015</v>
      </c>
      <c r="AC285" s="6">
        <f t="shared" si="217"/>
        <v>12220</v>
      </c>
      <c r="AD285" s="6">
        <f t="shared" si="217"/>
        <v>13136</v>
      </c>
      <c r="AE285" s="6">
        <f t="shared" si="217"/>
        <v>13474</v>
      </c>
      <c r="AF285" s="6">
        <f t="shared" si="217"/>
        <v>14012</v>
      </c>
      <c r="AG285" s="6">
        <f t="shared" si="217"/>
        <v>14550</v>
      </c>
      <c r="AH285" s="6">
        <f t="shared" si="217"/>
        <v>14588</v>
      </c>
      <c r="AI285" s="6">
        <f t="shared" si="217"/>
        <v>15126</v>
      </c>
      <c r="AJ285" s="6">
        <f t="shared" si="217"/>
        <v>15664</v>
      </c>
      <c r="AK285" s="6">
        <f t="shared" si="217"/>
        <v>16202</v>
      </c>
      <c r="AL285" s="6">
        <f t="shared" si="217"/>
        <v>20578</v>
      </c>
      <c r="AM285" s="6">
        <f t="shared" si="217"/>
        <v>18419</v>
      </c>
      <c r="AN285" s="8"/>
      <c r="AO285" s="9"/>
      <c r="AP285" s="9"/>
      <c r="AQ285" s="9"/>
      <c r="AR285" s="9"/>
      <c r="AS285" s="9"/>
      <c r="AT285" s="9"/>
      <c r="AU285" s="9"/>
      <c r="AV285" s="9"/>
      <c r="AW285" s="9"/>
      <c r="AX285" s="9"/>
    </row>
    <row r="286" spans="1:50" ht="15.75" customHeight="1" x14ac:dyDescent="0.2">
      <c r="A286" s="177"/>
      <c r="B286" s="166" t="s">
        <v>112</v>
      </c>
      <c r="C286" s="127"/>
      <c r="D286" s="5">
        <f t="shared" ref="D286:AM286" si="218">D275-D284</f>
        <v>153027</v>
      </c>
      <c r="E286" s="5">
        <f t="shared" si="218"/>
        <v>62118</v>
      </c>
      <c r="F286" s="5">
        <f t="shared" si="218"/>
        <v>203616</v>
      </c>
      <c r="G286" s="5">
        <f t="shared" si="218"/>
        <v>3906</v>
      </c>
      <c r="H286" s="5">
        <f t="shared" si="218"/>
        <v>-33894</v>
      </c>
      <c r="I286" s="5">
        <f t="shared" si="218"/>
        <v>-2394</v>
      </c>
      <c r="J286" s="5">
        <f t="shared" si="218"/>
        <v>-33894</v>
      </c>
      <c r="K286" s="5">
        <f t="shared" si="218"/>
        <v>-33894</v>
      </c>
      <c r="L286" s="5">
        <f t="shared" si="218"/>
        <v>-33894</v>
      </c>
      <c r="M286" s="5">
        <f t="shared" si="218"/>
        <v>-33894</v>
      </c>
      <c r="N286" s="5">
        <f t="shared" si="218"/>
        <v>-275688</v>
      </c>
      <c r="O286" s="264">
        <f t="shared" si="218"/>
        <v>167517</v>
      </c>
      <c r="P286" s="5">
        <f t="shared" si="218"/>
        <v>-12222</v>
      </c>
      <c r="Q286" s="5">
        <f t="shared" si="218"/>
        <v>-12915</v>
      </c>
      <c r="R286" s="5">
        <f t="shared" si="218"/>
        <v>-45108</v>
      </c>
      <c r="S286" s="5">
        <f t="shared" si="218"/>
        <v>-21294</v>
      </c>
      <c r="T286" s="5">
        <f t="shared" si="218"/>
        <v>-21294</v>
      </c>
      <c r="U286" s="5">
        <f t="shared" si="218"/>
        <v>-21294</v>
      </c>
      <c r="V286" s="5">
        <f t="shared" si="218"/>
        <v>-33894</v>
      </c>
      <c r="W286" s="5">
        <f t="shared" si="218"/>
        <v>-33894</v>
      </c>
      <c r="X286" s="5">
        <f t="shared" si="218"/>
        <v>-33894</v>
      </c>
      <c r="Y286" s="5">
        <f t="shared" si="218"/>
        <v>-33894</v>
      </c>
      <c r="Z286" s="5">
        <f t="shared" si="218"/>
        <v>-275688</v>
      </c>
      <c r="AA286" s="264">
        <f t="shared" si="218"/>
        <v>199017</v>
      </c>
      <c r="AB286" s="5">
        <f t="shared" si="218"/>
        <v>-24822</v>
      </c>
      <c r="AC286" s="5">
        <f t="shared" si="218"/>
        <v>-12915</v>
      </c>
      <c r="AD286" s="5">
        <f t="shared" si="218"/>
        <v>-57708</v>
      </c>
      <c r="AE286" s="5">
        <f t="shared" si="218"/>
        <v>-21294</v>
      </c>
      <c r="AF286" s="5">
        <f t="shared" si="218"/>
        <v>-33894</v>
      </c>
      <c r="AG286" s="5">
        <f t="shared" si="218"/>
        <v>-33894</v>
      </c>
      <c r="AH286" s="5">
        <f t="shared" si="218"/>
        <v>-2394</v>
      </c>
      <c r="AI286" s="5">
        <f t="shared" si="218"/>
        <v>-33894</v>
      </c>
      <c r="AJ286" s="5">
        <f t="shared" si="218"/>
        <v>-33894</v>
      </c>
      <c r="AK286" s="5">
        <f t="shared" si="218"/>
        <v>-33894</v>
      </c>
      <c r="AL286" s="5">
        <f t="shared" si="218"/>
        <v>-275688</v>
      </c>
      <c r="AM286" s="5">
        <f t="shared" si="218"/>
        <v>136017</v>
      </c>
      <c r="AN286" s="8"/>
      <c r="AO286" s="207"/>
      <c r="AP286" s="207">
        <v>5023</v>
      </c>
      <c r="AQ286" s="9"/>
      <c r="AR286" s="9"/>
      <c r="AS286" s="9"/>
      <c r="AT286" s="9"/>
      <c r="AU286" s="9"/>
      <c r="AV286" s="9"/>
      <c r="AW286" s="9"/>
      <c r="AX286" s="9"/>
    </row>
    <row r="287" spans="1:50" ht="15.75" customHeight="1" x14ac:dyDescent="0.2">
      <c r="A287" s="177"/>
      <c r="B287" s="187"/>
      <c r="C287" s="187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264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264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257"/>
      <c r="AO287" s="207">
        <v>3593</v>
      </c>
      <c r="AP287" s="207">
        <v>5000</v>
      </c>
      <c r="AQ287" s="207">
        <f t="shared" ref="AQ287:AQ288" si="219">AO287+AP287</f>
        <v>8593</v>
      </c>
      <c r="AR287" s="9"/>
      <c r="AS287" s="9"/>
      <c r="AT287" s="9"/>
      <c r="AU287" s="9"/>
      <c r="AV287" s="9"/>
      <c r="AW287" s="9"/>
      <c r="AX287" s="9"/>
    </row>
    <row r="288" spans="1:50" ht="15.75" customHeight="1" x14ac:dyDescent="0.2">
      <c r="A288" s="177"/>
      <c r="B288" s="489" t="s">
        <v>224</v>
      </c>
      <c r="C288" s="477"/>
      <c r="D288" s="169" t="s">
        <v>17</v>
      </c>
      <c r="E288" s="169" t="s">
        <v>18</v>
      </c>
      <c r="F288" s="169" t="s">
        <v>19</v>
      </c>
      <c r="G288" s="169" t="s">
        <v>20</v>
      </c>
      <c r="H288" s="169" t="s">
        <v>21</v>
      </c>
      <c r="I288" s="169" t="s">
        <v>22</v>
      </c>
      <c r="J288" s="169" t="s">
        <v>23</v>
      </c>
      <c r="K288" s="169" t="s">
        <v>24</v>
      </c>
      <c r="L288" s="169" t="s">
        <v>25</v>
      </c>
      <c r="M288" s="169" t="s">
        <v>14</v>
      </c>
      <c r="N288" s="169" t="s">
        <v>15</v>
      </c>
      <c r="O288" s="350" t="s">
        <v>16</v>
      </c>
      <c r="P288" s="169" t="s">
        <v>17</v>
      </c>
      <c r="Q288" s="169" t="s">
        <v>18</v>
      </c>
      <c r="R288" s="169" t="s">
        <v>19</v>
      </c>
      <c r="S288" s="169" t="s">
        <v>20</v>
      </c>
      <c r="T288" s="169" t="s">
        <v>21</v>
      </c>
      <c r="U288" s="169" t="s">
        <v>22</v>
      </c>
      <c r="V288" s="169" t="s">
        <v>23</v>
      </c>
      <c r="W288" s="169" t="s">
        <v>24</v>
      </c>
      <c r="X288" s="169" t="s">
        <v>25</v>
      </c>
      <c r="Y288" s="169" t="s">
        <v>14</v>
      </c>
      <c r="Z288" s="169" t="s">
        <v>15</v>
      </c>
      <c r="AA288" s="350" t="s">
        <v>16</v>
      </c>
      <c r="AB288" s="169" t="s">
        <v>17</v>
      </c>
      <c r="AC288" s="169" t="s">
        <v>18</v>
      </c>
      <c r="AD288" s="169" t="s">
        <v>19</v>
      </c>
      <c r="AE288" s="169" t="s">
        <v>20</v>
      </c>
      <c r="AF288" s="169" t="s">
        <v>21</v>
      </c>
      <c r="AG288" s="169" t="s">
        <v>22</v>
      </c>
      <c r="AH288" s="169" t="s">
        <v>23</v>
      </c>
      <c r="AI288" s="169" t="s">
        <v>24</v>
      </c>
      <c r="AJ288" s="169" t="s">
        <v>25</v>
      </c>
      <c r="AK288" s="169" t="s">
        <v>14</v>
      </c>
      <c r="AL288" s="169" t="s">
        <v>15</v>
      </c>
      <c r="AM288" s="169" t="s">
        <v>16</v>
      </c>
      <c r="AN288" s="257"/>
      <c r="AO288" s="207">
        <v>1243</v>
      </c>
      <c r="AP288" s="207">
        <v>1700</v>
      </c>
      <c r="AQ288" s="207">
        <f t="shared" si="219"/>
        <v>2943</v>
      </c>
      <c r="AR288" s="9"/>
      <c r="AS288" s="9"/>
      <c r="AT288" s="9"/>
      <c r="AU288" s="9"/>
      <c r="AV288" s="9"/>
      <c r="AW288" s="9"/>
      <c r="AX288" s="9"/>
    </row>
    <row r="289" spans="1:50" ht="15.75" customHeight="1" x14ac:dyDescent="0.2">
      <c r="A289" s="18"/>
      <c r="B289" s="24" t="s">
        <v>109</v>
      </c>
      <c r="C289" s="249">
        <f>'Расчетный лист'!C78</f>
        <v>0</v>
      </c>
      <c r="D289" s="51">
        <f t="shared" ref="D289:AM289" si="220">-30/((D83/(D290+D299)/2))</f>
        <v>696.25531914893622</v>
      </c>
      <c r="E289" s="51">
        <f t="shared" si="220"/>
        <v>1318.0645161290322</v>
      </c>
      <c r="F289" s="51">
        <f t="shared" si="220"/>
        <v>443.69003690036902</v>
      </c>
      <c r="G289" s="51">
        <f t="shared" si="220"/>
        <v>487.26315789473688</v>
      </c>
      <c r="H289" s="51">
        <f t="shared" si="220"/>
        <v>367.26315789473688</v>
      </c>
      <c r="I289" s="51">
        <f t="shared" si="220"/>
        <v>247.26315789473685</v>
      </c>
      <c r="J289" s="51">
        <f t="shared" si="220"/>
        <v>174.63157894736844</v>
      </c>
      <c r="K289" s="51">
        <f t="shared" si="220"/>
        <v>149.36842105263159</v>
      </c>
      <c r="L289" s="51">
        <f t="shared" si="220"/>
        <v>124.10526315789474</v>
      </c>
      <c r="M289" s="51">
        <f t="shared" si="220"/>
        <v>98.84210526315789</v>
      </c>
      <c r="N289" s="51">
        <f t="shared" si="220"/>
        <v>111.07551487414187</v>
      </c>
      <c r="O289" s="278">
        <f t="shared" si="220"/>
        <v>49.400218102508177</v>
      </c>
      <c r="P289" s="51">
        <f t="shared" si="220"/>
        <v>58.028169014084504</v>
      </c>
      <c r="Q289" s="51">
        <f t="shared" si="220"/>
        <v>164.57142857142858</v>
      </c>
      <c r="R289" s="51">
        <f t="shared" si="220"/>
        <v>79.085487077534793</v>
      </c>
      <c r="S289" s="51">
        <f t="shared" si="220"/>
        <v>91.578947368421055</v>
      </c>
      <c r="T289" s="51">
        <f t="shared" si="220"/>
        <v>97.89473684210526</v>
      </c>
      <c r="U289" s="51">
        <f t="shared" si="220"/>
        <v>104.21052631578947</v>
      </c>
      <c r="V289" s="51">
        <f t="shared" si="220"/>
        <v>110.5263157894737</v>
      </c>
      <c r="W289" s="51">
        <f t="shared" si="220"/>
        <v>116.8421052631579</v>
      </c>
      <c r="X289" s="51">
        <f t="shared" si="220"/>
        <v>123.15789473684211</v>
      </c>
      <c r="Y289" s="51">
        <f t="shared" si="220"/>
        <v>129.4736842105263</v>
      </c>
      <c r="Z289" s="51">
        <f t="shared" si="220"/>
        <v>151.44164759725402</v>
      </c>
      <c r="AA289" s="278">
        <f t="shared" si="220"/>
        <v>68.63685932388222</v>
      </c>
      <c r="AB289" s="51">
        <f t="shared" si="220"/>
        <v>99.436619718309856</v>
      </c>
      <c r="AC289" s="51">
        <f t="shared" si="220"/>
        <v>248.57142857142856</v>
      </c>
      <c r="AD289" s="51">
        <f t="shared" si="220"/>
        <v>114.15506958250496</v>
      </c>
      <c r="AE289" s="51">
        <f t="shared" si="220"/>
        <v>138</v>
      </c>
      <c r="AF289" s="51">
        <f t="shared" si="220"/>
        <v>144.31578947368422</v>
      </c>
      <c r="AG289" s="51">
        <f t="shared" si="220"/>
        <v>150.63157894736841</v>
      </c>
      <c r="AH289" s="51">
        <f t="shared" si="220"/>
        <v>156.94736842105263</v>
      </c>
      <c r="AI289" s="51">
        <f t="shared" si="220"/>
        <v>163.26315789473685</v>
      </c>
      <c r="AJ289" s="51">
        <f t="shared" si="220"/>
        <v>169.57894736842104</v>
      </c>
      <c r="AK289" s="51">
        <f t="shared" si="220"/>
        <v>175.89473684210526</v>
      </c>
      <c r="AL289" s="51">
        <f t="shared" si="220"/>
        <v>191.80778032036613</v>
      </c>
      <c r="AM289" s="51">
        <f t="shared" si="220"/>
        <v>87.873500545256277</v>
      </c>
      <c r="AN289" s="23"/>
      <c r="AO289" s="9"/>
      <c r="AP289" s="9"/>
      <c r="AQ289" s="9"/>
      <c r="AR289" s="9"/>
      <c r="AS289" s="9"/>
      <c r="AT289" s="9"/>
      <c r="AU289" s="9"/>
      <c r="AV289" s="9"/>
      <c r="AW289" s="9"/>
      <c r="AX289" s="9"/>
    </row>
    <row r="290" spans="1:50" ht="15.75" customHeight="1" x14ac:dyDescent="0.2">
      <c r="A290" s="18"/>
      <c r="B290" s="186" t="s">
        <v>212</v>
      </c>
      <c r="C290" s="125">
        <v>143</v>
      </c>
      <c r="D290" s="154">
        <f t="shared" ref="D290:AM290" si="221">D291*$C290</f>
        <v>423566</v>
      </c>
      <c r="E290" s="154">
        <f t="shared" si="221"/>
        <v>356356</v>
      </c>
      <c r="F290" s="154">
        <f t="shared" si="221"/>
        <v>325325</v>
      </c>
      <c r="G290" s="154">
        <f t="shared" si="221"/>
        <v>247819</v>
      </c>
      <c r="H290" s="154">
        <f t="shared" si="221"/>
        <v>193479</v>
      </c>
      <c r="I290" s="154">
        <f t="shared" si="221"/>
        <v>139139</v>
      </c>
      <c r="J290" s="154">
        <f t="shared" si="221"/>
        <v>84799</v>
      </c>
      <c r="K290" s="154">
        <f t="shared" si="221"/>
        <v>73359</v>
      </c>
      <c r="L290" s="154">
        <f t="shared" si="221"/>
        <v>61919</v>
      </c>
      <c r="M290" s="154">
        <f t="shared" si="221"/>
        <v>50479</v>
      </c>
      <c r="N290" s="154">
        <f t="shared" si="221"/>
        <v>39039</v>
      </c>
      <c r="O290" s="328">
        <f t="shared" si="221"/>
        <v>76648</v>
      </c>
      <c r="P290" s="154">
        <f t="shared" si="221"/>
        <v>31317</v>
      </c>
      <c r="Q290" s="154">
        <f t="shared" si="221"/>
        <v>27599</v>
      </c>
      <c r="R290" s="154">
        <f t="shared" si="221"/>
        <v>54769</v>
      </c>
      <c r="S290" s="154">
        <f t="shared" si="221"/>
        <v>40040</v>
      </c>
      <c r="T290" s="154">
        <f t="shared" si="221"/>
        <v>42900</v>
      </c>
      <c r="U290" s="154">
        <f t="shared" si="221"/>
        <v>45760</v>
      </c>
      <c r="V290" s="154">
        <f t="shared" si="221"/>
        <v>48620</v>
      </c>
      <c r="W290" s="154">
        <f t="shared" si="221"/>
        <v>51480</v>
      </c>
      <c r="X290" s="154">
        <f t="shared" si="221"/>
        <v>54340</v>
      </c>
      <c r="Y290" s="154">
        <f t="shared" si="221"/>
        <v>57200</v>
      </c>
      <c r="Z290" s="154">
        <f t="shared" si="221"/>
        <v>60060</v>
      </c>
      <c r="AA290" s="328">
        <f t="shared" si="221"/>
        <v>97669</v>
      </c>
      <c r="AB290" s="154">
        <f t="shared" si="221"/>
        <v>52338</v>
      </c>
      <c r="AC290" s="154">
        <f t="shared" si="221"/>
        <v>48620</v>
      </c>
      <c r="AD290" s="154">
        <f t="shared" si="221"/>
        <v>75790</v>
      </c>
      <c r="AE290" s="154">
        <f t="shared" si="221"/>
        <v>61061</v>
      </c>
      <c r="AF290" s="154">
        <f t="shared" si="221"/>
        <v>63921</v>
      </c>
      <c r="AG290" s="154">
        <f t="shared" si="221"/>
        <v>66781</v>
      </c>
      <c r="AH290" s="154">
        <f t="shared" si="221"/>
        <v>69641</v>
      </c>
      <c r="AI290" s="154">
        <f t="shared" si="221"/>
        <v>72501</v>
      </c>
      <c r="AJ290" s="154">
        <f t="shared" si="221"/>
        <v>75361</v>
      </c>
      <c r="AK290" s="154">
        <f t="shared" si="221"/>
        <v>78221</v>
      </c>
      <c r="AL290" s="154">
        <f t="shared" si="221"/>
        <v>81081</v>
      </c>
      <c r="AM290" s="154">
        <f t="shared" si="221"/>
        <v>118690</v>
      </c>
      <c r="AN290" s="23"/>
      <c r="AO290" s="9"/>
      <c r="AP290" s="9"/>
      <c r="AQ290" s="9"/>
      <c r="AR290" s="9"/>
      <c r="AS290" s="9"/>
      <c r="AT290" s="9"/>
      <c r="AU290" s="9"/>
      <c r="AV290" s="9"/>
      <c r="AW290" s="9"/>
      <c r="AX290" s="9"/>
    </row>
    <row r="291" spans="1:50" ht="15.75" customHeight="1" x14ac:dyDescent="0.2">
      <c r="A291" s="18"/>
      <c r="B291" s="139" t="s">
        <v>213</v>
      </c>
      <c r="C291" s="125">
        <f>2943+19</f>
        <v>2962</v>
      </c>
      <c r="D291" s="51">
        <f>C291</f>
        <v>2962</v>
      </c>
      <c r="E291" s="51">
        <f t="shared" ref="E291:AM291" si="222">D300</f>
        <v>2492</v>
      </c>
      <c r="F291" s="51">
        <f t="shared" si="222"/>
        <v>2275</v>
      </c>
      <c r="G291" s="60">
        <f t="shared" si="222"/>
        <v>1733</v>
      </c>
      <c r="H291" s="51">
        <f t="shared" si="222"/>
        <v>1353</v>
      </c>
      <c r="I291" s="51">
        <f t="shared" si="222"/>
        <v>973</v>
      </c>
      <c r="J291" s="51">
        <f t="shared" si="222"/>
        <v>593</v>
      </c>
      <c r="K291" s="51">
        <f t="shared" si="222"/>
        <v>513</v>
      </c>
      <c r="L291" s="51">
        <f t="shared" si="222"/>
        <v>433</v>
      </c>
      <c r="M291" s="51">
        <f t="shared" si="222"/>
        <v>353</v>
      </c>
      <c r="N291" s="51">
        <f t="shared" si="222"/>
        <v>273</v>
      </c>
      <c r="O291" s="278">
        <f t="shared" si="222"/>
        <v>536</v>
      </c>
      <c r="P291" s="51">
        <f t="shared" si="222"/>
        <v>219</v>
      </c>
      <c r="Q291" s="51">
        <f t="shared" si="222"/>
        <v>193</v>
      </c>
      <c r="R291" s="51">
        <f t="shared" si="222"/>
        <v>383</v>
      </c>
      <c r="S291" s="51">
        <f t="shared" si="222"/>
        <v>280</v>
      </c>
      <c r="T291" s="51">
        <f t="shared" si="222"/>
        <v>300</v>
      </c>
      <c r="U291" s="51">
        <f t="shared" si="222"/>
        <v>320</v>
      </c>
      <c r="V291" s="51">
        <f t="shared" si="222"/>
        <v>340</v>
      </c>
      <c r="W291" s="51">
        <f t="shared" si="222"/>
        <v>360</v>
      </c>
      <c r="X291" s="51">
        <f t="shared" si="222"/>
        <v>380</v>
      </c>
      <c r="Y291" s="51">
        <f t="shared" si="222"/>
        <v>400</v>
      </c>
      <c r="Z291" s="51">
        <f t="shared" si="222"/>
        <v>420</v>
      </c>
      <c r="AA291" s="278">
        <f t="shared" si="222"/>
        <v>683</v>
      </c>
      <c r="AB291" s="51">
        <f t="shared" si="222"/>
        <v>366</v>
      </c>
      <c r="AC291" s="51">
        <f t="shared" si="222"/>
        <v>340</v>
      </c>
      <c r="AD291" s="51">
        <f t="shared" si="222"/>
        <v>530</v>
      </c>
      <c r="AE291" s="51">
        <f t="shared" si="222"/>
        <v>427</v>
      </c>
      <c r="AF291" s="51">
        <f t="shared" si="222"/>
        <v>447</v>
      </c>
      <c r="AG291" s="51">
        <f t="shared" si="222"/>
        <v>467</v>
      </c>
      <c r="AH291" s="51">
        <f t="shared" si="222"/>
        <v>487</v>
      </c>
      <c r="AI291" s="51">
        <f t="shared" si="222"/>
        <v>507</v>
      </c>
      <c r="AJ291" s="51">
        <f t="shared" si="222"/>
        <v>527</v>
      </c>
      <c r="AK291" s="51">
        <f t="shared" si="222"/>
        <v>547</v>
      </c>
      <c r="AL291" s="51">
        <f t="shared" si="222"/>
        <v>567</v>
      </c>
      <c r="AM291" s="51">
        <f t="shared" si="222"/>
        <v>830</v>
      </c>
      <c r="AN291" s="23"/>
      <c r="AO291" s="9"/>
      <c r="AP291" s="9"/>
      <c r="AQ291" s="9"/>
      <c r="AR291" s="9"/>
      <c r="AS291" s="9"/>
      <c r="AT291" s="9"/>
      <c r="AU291" s="9"/>
      <c r="AV291" s="9"/>
      <c r="AW291" s="9"/>
      <c r="AX291" s="9"/>
    </row>
    <row r="292" spans="1:50" ht="15.75" customHeight="1" x14ac:dyDescent="0.2">
      <c r="A292" s="18"/>
      <c r="B292" s="485" t="s">
        <v>214</v>
      </c>
      <c r="C292" s="477"/>
      <c r="D292" s="51">
        <f t="shared" ref="D292:AM292" si="223">D48</f>
        <v>470</v>
      </c>
      <c r="E292" s="51">
        <f t="shared" si="223"/>
        <v>217</v>
      </c>
      <c r="F292" s="51">
        <f t="shared" si="223"/>
        <v>542</v>
      </c>
      <c r="G292" s="51">
        <f t="shared" si="223"/>
        <v>380</v>
      </c>
      <c r="H292" s="51">
        <f t="shared" si="223"/>
        <v>380</v>
      </c>
      <c r="I292" s="51">
        <f t="shared" si="223"/>
        <v>380</v>
      </c>
      <c r="J292" s="51">
        <f t="shared" si="223"/>
        <v>380</v>
      </c>
      <c r="K292" s="51">
        <f t="shared" si="223"/>
        <v>380</v>
      </c>
      <c r="L292" s="51">
        <f t="shared" si="223"/>
        <v>380</v>
      </c>
      <c r="M292" s="51">
        <f t="shared" si="223"/>
        <v>380</v>
      </c>
      <c r="N292" s="51">
        <f t="shared" si="223"/>
        <v>437</v>
      </c>
      <c r="O292" s="278">
        <f t="shared" si="223"/>
        <v>917</v>
      </c>
      <c r="P292" s="51">
        <f t="shared" si="223"/>
        <v>426</v>
      </c>
      <c r="Q292" s="51">
        <f t="shared" si="223"/>
        <v>210</v>
      </c>
      <c r="R292" s="51">
        <f t="shared" si="223"/>
        <v>503</v>
      </c>
      <c r="S292" s="51">
        <f t="shared" si="223"/>
        <v>380</v>
      </c>
      <c r="T292" s="51">
        <f t="shared" si="223"/>
        <v>380</v>
      </c>
      <c r="U292" s="51">
        <f t="shared" si="223"/>
        <v>380</v>
      </c>
      <c r="V292" s="51">
        <f t="shared" si="223"/>
        <v>380</v>
      </c>
      <c r="W292" s="51">
        <f t="shared" si="223"/>
        <v>380</v>
      </c>
      <c r="X292" s="51">
        <f t="shared" si="223"/>
        <v>380</v>
      </c>
      <c r="Y292" s="51">
        <f t="shared" si="223"/>
        <v>380</v>
      </c>
      <c r="Z292" s="51">
        <f t="shared" si="223"/>
        <v>437</v>
      </c>
      <c r="AA292" s="278">
        <f t="shared" si="223"/>
        <v>917</v>
      </c>
      <c r="AB292" s="51">
        <f t="shared" si="223"/>
        <v>426</v>
      </c>
      <c r="AC292" s="51">
        <f t="shared" si="223"/>
        <v>210</v>
      </c>
      <c r="AD292" s="51">
        <f t="shared" si="223"/>
        <v>503</v>
      </c>
      <c r="AE292" s="51">
        <f t="shared" si="223"/>
        <v>380</v>
      </c>
      <c r="AF292" s="51">
        <f t="shared" si="223"/>
        <v>380</v>
      </c>
      <c r="AG292" s="51">
        <f t="shared" si="223"/>
        <v>380</v>
      </c>
      <c r="AH292" s="51">
        <f t="shared" si="223"/>
        <v>380</v>
      </c>
      <c r="AI292" s="51">
        <f t="shared" si="223"/>
        <v>380</v>
      </c>
      <c r="AJ292" s="51">
        <f t="shared" si="223"/>
        <v>380</v>
      </c>
      <c r="AK292" s="51">
        <f t="shared" si="223"/>
        <v>380</v>
      </c>
      <c r="AL292" s="51">
        <f t="shared" si="223"/>
        <v>437</v>
      </c>
      <c r="AM292" s="51">
        <f t="shared" si="223"/>
        <v>917</v>
      </c>
      <c r="AN292" s="23"/>
      <c r="AO292" s="9"/>
      <c r="AP292" s="9"/>
      <c r="AQ292" s="9"/>
      <c r="AR292" s="9"/>
      <c r="AS292" s="9"/>
      <c r="AT292" s="9"/>
      <c r="AU292" s="9"/>
      <c r="AV292" s="9"/>
      <c r="AW292" s="9"/>
      <c r="AX292" s="9"/>
    </row>
    <row r="293" spans="1:50" ht="15.75" customHeight="1" x14ac:dyDescent="0.2">
      <c r="A293" s="177"/>
      <c r="B293" s="46" t="s">
        <v>215</v>
      </c>
      <c r="C293" s="125">
        <v>143</v>
      </c>
      <c r="D293" s="5">
        <f t="shared" ref="D293:AM293" si="224">D292*$C293</f>
        <v>67210</v>
      </c>
      <c r="E293" s="5">
        <f t="shared" si="224"/>
        <v>31031</v>
      </c>
      <c r="F293" s="5">
        <f t="shared" si="224"/>
        <v>77506</v>
      </c>
      <c r="G293" s="5">
        <f t="shared" si="224"/>
        <v>54340</v>
      </c>
      <c r="H293" s="5">
        <f t="shared" si="224"/>
        <v>54340</v>
      </c>
      <c r="I293" s="5">
        <f t="shared" si="224"/>
        <v>54340</v>
      </c>
      <c r="J293" s="5">
        <f t="shared" si="224"/>
        <v>54340</v>
      </c>
      <c r="K293" s="5">
        <f t="shared" si="224"/>
        <v>54340</v>
      </c>
      <c r="L293" s="5">
        <f t="shared" si="224"/>
        <v>54340</v>
      </c>
      <c r="M293" s="5">
        <f t="shared" si="224"/>
        <v>54340</v>
      </c>
      <c r="N293" s="5">
        <f t="shared" si="224"/>
        <v>62491</v>
      </c>
      <c r="O293" s="264">
        <f t="shared" si="224"/>
        <v>131131</v>
      </c>
      <c r="P293" s="5">
        <f t="shared" si="224"/>
        <v>60918</v>
      </c>
      <c r="Q293" s="5">
        <f t="shared" si="224"/>
        <v>30030</v>
      </c>
      <c r="R293" s="5">
        <f t="shared" si="224"/>
        <v>71929</v>
      </c>
      <c r="S293" s="5">
        <f t="shared" si="224"/>
        <v>54340</v>
      </c>
      <c r="T293" s="5">
        <f t="shared" si="224"/>
        <v>54340</v>
      </c>
      <c r="U293" s="5">
        <f t="shared" si="224"/>
        <v>54340</v>
      </c>
      <c r="V293" s="5">
        <f t="shared" si="224"/>
        <v>54340</v>
      </c>
      <c r="W293" s="5">
        <f t="shared" si="224"/>
        <v>54340</v>
      </c>
      <c r="X293" s="5">
        <f t="shared" si="224"/>
        <v>54340</v>
      </c>
      <c r="Y293" s="5">
        <f t="shared" si="224"/>
        <v>54340</v>
      </c>
      <c r="Z293" s="5">
        <f t="shared" si="224"/>
        <v>62491</v>
      </c>
      <c r="AA293" s="264">
        <f t="shared" si="224"/>
        <v>131131</v>
      </c>
      <c r="AB293" s="5">
        <f t="shared" si="224"/>
        <v>60918</v>
      </c>
      <c r="AC293" s="5">
        <f t="shared" si="224"/>
        <v>30030</v>
      </c>
      <c r="AD293" s="5">
        <f t="shared" si="224"/>
        <v>71929</v>
      </c>
      <c r="AE293" s="5">
        <f t="shared" si="224"/>
        <v>54340</v>
      </c>
      <c r="AF293" s="5">
        <f t="shared" si="224"/>
        <v>54340</v>
      </c>
      <c r="AG293" s="5">
        <f t="shared" si="224"/>
        <v>54340</v>
      </c>
      <c r="AH293" s="5">
        <f t="shared" si="224"/>
        <v>54340</v>
      </c>
      <c r="AI293" s="5">
        <f t="shared" si="224"/>
        <v>54340</v>
      </c>
      <c r="AJ293" s="5">
        <f t="shared" si="224"/>
        <v>54340</v>
      </c>
      <c r="AK293" s="5">
        <f t="shared" si="224"/>
        <v>54340</v>
      </c>
      <c r="AL293" s="5">
        <f t="shared" si="224"/>
        <v>62491</v>
      </c>
      <c r="AM293" s="5">
        <f t="shared" si="224"/>
        <v>131131</v>
      </c>
      <c r="AN293" s="259"/>
      <c r="AO293" s="204"/>
      <c r="AP293" s="204"/>
      <c r="AQ293" s="204"/>
      <c r="AR293" s="204"/>
      <c r="AS293" s="204"/>
      <c r="AT293" s="204"/>
      <c r="AU293" s="204"/>
      <c r="AV293" s="204"/>
      <c r="AW293" s="204"/>
      <c r="AX293" s="204"/>
    </row>
    <row r="294" spans="1:50" ht="15.75" customHeight="1" x14ac:dyDescent="0.2">
      <c r="A294" s="18"/>
      <c r="B294" s="252" t="s">
        <v>216</v>
      </c>
      <c r="C294" s="125">
        <v>143</v>
      </c>
      <c r="D294" s="185">
        <f t="shared" ref="D294:AM294" si="225">D295*$C294</f>
        <v>356356</v>
      </c>
      <c r="E294" s="185">
        <f t="shared" si="225"/>
        <v>325325</v>
      </c>
      <c r="F294" s="185">
        <f t="shared" si="225"/>
        <v>247819</v>
      </c>
      <c r="G294" s="185">
        <f t="shared" si="225"/>
        <v>193479</v>
      </c>
      <c r="H294" s="185">
        <f t="shared" si="225"/>
        <v>139139</v>
      </c>
      <c r="I294" s="185">
        <f t="shared" si="225"/>
        <v>84799</v>
      </c>
      <c r="J294" s="185">
        <f t="shared" si="225"/>
        <v>30459</v>
      </c>
      <c r="K294" s="185">
        <f t="shared" si="225"/>
        <v>19019</v>
      </c>
      <c r="L294" s="185">
        <f t="shared" si="225"/>
        <v>7579</v>
      </c>
      <c r="M294" s="185">
        <f t="shared" si="225"/>
        <v>-3861</v>
      </c>
      <c r="N294" s="185">
        <f t="shared" si="225"/>
        <v>-23452</v>
      </c>
      <c r="O294" s="339">
        <f t="shared" si="225"/>
        <v>-54483</v>
      </c>
      <c r="P294" s="185">
        <f t="shared" si="225"/>
        <v>-29601</v>
      </c>
      <c r="Q294" s="185">
        <f t="shared" si="225"/>
        <v>-2431</v>
      </c>
      <c r="R294" s="185">
        <f t="shared" si="225"/>
        <v>-17160</v>
      </c>
      <c r="S294" s="185">
        <f t="shared" si="225"/>
        <v>-14300</v>
      </c>
      <c r="T294" s="185">
        <f t="shared" si="225"/>
        <v>-11440</v>
      </c>
      <c r="U294" s="185">
        <f t="shared" si="225"/>
        <v>-8580</v>
      </c>
      <c r="V294" s="185">
        <f t="shared" si="225"/>
        <v>-5720</v>
      </c>
      <c r="W294" s="185">
        <f t="shared" si="225"/>
        <v>-2860</v>
      </c>
      <c r="X294" s="185">
        <f t="shared" si="225"/>
        <v>0</v>
      </c>
      <c r="Y294" s="185">
        <f t="shared" si="225"/>
        <v>2860</v>
      </c>
      <c r="Z294" s="185">
        <f t="shared" si="225"/>
        <v>-2431</v>
      </c>
      <c r="AA294" s="339">
        <f t="shared" si="225"/>
        <v>-33462</v>
      </c>
      <c r="AB294" s="185">
        <f t="shared" si="225"/>
        <v>-8580</v>
      </c>
      <c r="AC294" s="185">
        <f t="shared" si="225"/>
        <v>18590</v>
      </c>
      <c r="AD294" s="185">
        <f t="shared" si="225"/>
        <v>3861</v>
      </c>
      <c r="AE294" s="185">
        <f t="shared" si="225"/>
        <v>6721</v>
      </c>
      <c r="AF294" s="185">
        <f t="shared" si="225"/>
        <v>9581</v>
      </c>
      <c r="AG294" s="185">
        <f t="shared" si="225"/>
        <v>12441</v>
      </c>
      <c r="AH294" s="185">
        <f t="shared" si="225"/>
        <v>15301</v>
      </c>
      <c r="AI294" s="185">
        <f t="shared" si="225"/>
        <v>18161</v>
      </c>
      <c r="AJ294" s="185">
        <f t="shared" si="225"/>
        <v>21021</v>
      </c>
      <c r="AK294" s="185">
        <f t="shared" si="225"/>
        <v>23881</v>
      </c>
      <c r="AL294" s="185">
        <f t="shared" si="225"/>
        <v>18590</v>
      </c>
      <c r="AM294" s="185">
        <f t="shared" si="225"/>
        <v>-12441</v>
      </c>
      <c r="AN294" s="8"/>
      <c r="AO294" s="9"/>
      <c r="AP294" s="9"/>
      <c r="AQ294" s="9"/>
      <c r="AR294" s="9"/>
      <c r="AS294" s="9"/>
      <c r="AT294" s="9"/>
      <c r="AU294" s="9"/>
      <c r="AV294" s="9"/>
      <c r="AW294" s="9"/>
      <c r="AX294" s="9"/>
    </row>
    <row r="295" spans="1:50" ht="15.75" customHeight="1" x14ac:dyDescent="0.2">
      <c r="A295" s="34"/>
      <c r="B295" s="139" t="s">
        <v>217</v>
      </c>
      <c r="C295" s="127"/>
      <c r="D295" s="5">
        <f t="shared" ref="D295:AM295" si="226">D291-D292</f>
        <v>2492</v>
      </c>
      <c r="E295" s="5">
        <f t="shared" si="226"/>
        <v>2275</v>
      </c>
      <c r="F295" s="5">
        <f t="shared" si="226"/>
        <v>1733</v>
      </c>
      <c r="G295" s="5">
        <f t="shared" si="226"/>
        <v>1353</v>
      </c>
      <c r="H295" s="5">
        <f t="shared" si="226"/>
        <v>973</v>
      </c>
      <c r="I295" s="5">
        <f t="shared" si="226"/>
        <v>593</v>
      </c>
      <c r="J295" s="5">
        <f t="shared" si="226"/>
        <v>213</v>
      </c>
      <c r="K295" s="5">
        <f t="shared" si="226"/>
        <v>133</v>
      </c>
      <c r="L295" s="5">
        <f t="shared" si="226"/>
        <v>53</v>
      </c>
      <c r="M295" s="5">
        <f t="shared" si="226"/>
        <v>-27</v>
      </c>
      <c r="N295" s="5">
        <f t="shared" si="226"/>
        <v>-164</v>
      </c>
      <c r="O295" s="264">
        <f t="shared" si="226"/>
        <v>-381</v>
      </c>
      <c r="P295" s="5">
        <f t="shared" si="226"/>
        <v>-207</v>
      </c>
      <c r="Q295" s="5">
        <f t="shared" si="226"/>
        <v>-17</v>
      </c>
      <c r="R295" s="5">
        <f t="shared" si="226"/>
        <v>-120</v>
      </c>
      <c r="S295" s="5">
        <f t="shared" si="226"/>
        <v>-100</v>
      </c>
      <c r="T295" s="5">
        <f t="shared" si="226"/>
        <v>-80</v>
      </c>
      <c r="U295" s="5">
        <f t="shared" si="226"/>
        <v>-60</v>
      </c>
      <c r="V295" s="5">
        <f t="shared" si="226"/>
        <v>-40</v>
      </c>
      <c r="W295" s="5">
        <f t="shared" si="226"/>
        <v>-20</v>
      </c>
      <c r="X295" s="5">
        <f t="shared" si="226"/>
        <v>0</v>
      </c>
      <c r="Y295" s="5">
        <f t="shared" si="226"/>
        <v>20</v>
      </c>
      <c r="Z295" s="5">
        <f t="shared" si="226"/>
        <v>-17</v>
      </c>
      <c r="AA295" s="264">
        <f t="shared" si="226"/>
        <v>-234</v>
      </c>
      <c r="AB295" s="5">
        <f t="shared" si="226"/>
        <v>-60</v>
      </c>
      <c r="AC295" s="5">
        <f t="shared" si="226"/>
        <v>130</v>
      </c>
      <c r="AD295" s="5">
        <f t="shared" si="226"/>
        <v>27</v>
      </c>
      <c r="AE295" s="5">
        <f t="shared" si="226"/>
        <v>47</v>
      </c>
      <c r="AF295" s="5">
        <f t="shared" si="226"/>
        <v>67</v>
      </c>
      <c r="AG295" s="5">
        <f t="shared" si="226"/>
        <v>87</v>
      </c>
      <c r="AH295" s="5">
        <f t="shared" si="226"/>
        <v>107</v>
      </c>
      <c r="AI295" s="5">
        <f t="shared" si="226"/>
        <v>127</v>
      </c>
      <c r="AJ295" s="5">
        <f t="shared" si="226"/>
        <v>147</v>
      </c>
      <c r="AK295" s="5">
        <f t="shared" si="226"/>
        <v>167</v>
      </c>
      <c r="AL295" s="5">
        <f t="shared" si="226"/>
        <v>130</v>
      </c>
      <c r="AM295" s="5">
        <f t="shared" si="226"/>
        <v>-87</v>
      </c>
      <c r="AN295" s="8"/>
      <c r="AO295" s="9"/>
      <c r="AP295" s="9"/>
      <c r="AQ295" s="9"/>
      <c r="AR295" s="9"/>
      <c r="AS295" s="9"/>
      <c r="AT295" s="9"/>
      <c r="AU295" s="9"/>
      <c r="AV295" s="9"/>
      <c r="AW295" s="9"/>
      <c r="AX295" s="9"/>
    </row>
    <row r="296" spans="1:50" ht="15.75" customHeight="1" x14ac:dyDescent="0.2">
      <c r="A296" s="260"/>
      <c r="B296" s="252" t="s">
        <v>218</v>
      </c>
      <c r="C296" s="127"/>
      <c r="D296" s="183"/>
      <c r="E296" s="183"/>
      <c r="F296" s="185"/>
      <c r="G296" s="185"/>
      <c r="H296" s="185">
        <f t="shared" ref="H296:AM296" si="227">H297*H298</f>
        <v>0</v>
      </c>
      <c r="I296" s="185">
        <f t="shared" si="227"/>
        <v>0</v>
      </c>
      <c r="J296" s="185">
        <f t="shared" si="227"/>
        <v>42900</v>
      </c>
      <c r="K296" s="185">
        <f t="shared" si="227"/>
        <v>42900</v>
      </c>
      <c r="L296" s="185">
        <f t="shared" si="227"/>
        <v>42900</v>
      </c>
      <c r="M296" s="185">
        <f t="shared" si="227"/>
        <v>42900</v>
      </c>
      <c r="N296" s="185">
        <f t="shared" si="227"/>
        <v>100100</v>
      </c>
      <c r="O296" s="339">
        <f t="shared" si="227"/>
        <v>85800</v>
      </c>
      <c r="P296" s="185">
        <f t="shared" si="227"/>
        <v>57200</v>
      </c>
      <c r="Q296" s="185">
        <f t="shared" si="227"/>
        <v>57200</v>
      </c>
      <c r="R296" s="185">
        <f t="shared" si="227"/>
        <v>57200</v>
      </c>
      <c r="S296" s="185">
        <f t="shared" si="227"/>
        <v>57200</v>
      </c>
      <c r="T296" s="185">
        <f t="shared" si="227"/>
        <v>57200</v>
      </c>
      <c r="U296" s="185">
        <f t="shared" si="227"/>
        <v>57200</v>
      </c>
      <c r="V296" s="185">
        <f t="shared" si="227"/>
        <v>57200</v>
      </c>
      <c r="W296" s="185">
        <f t="shared" si="227"/>
        <v>57200</v>
      </c>
      <c r="X296" s="185">
        <f t="shared" si="227"/>
        <v>57200</v>
      </c>
      <c r="Y296" s="185">
        <f t="shared" si="227"/>
        <v>57200</v>
      </c>
      <c r="Z296" s="185">
        <f t="shared" si="227"/>
        <v>100100</v>
      </c>
      <c r="AA296" s="339">
        <f t="shared" si="227"/>
        <v>85800</v>
      </c>
      <c r="AB296" s="185">
        <f t="shared" si="227"/>
        <v>57200</v>
      </c>
      <c r="AC296" s="185">
        <f t="shared" si="227"/>
        <v>57200</v>
      </c>
      <c r="AD296" s="185">
        <f t="shared" si="227"/>
        <v>57200</v>
      </c>
      <c r="AE296" s="185">
        <f t="shared" si="227"/>
        <v>57200</v>
      </c>
      <c r="AF296" s="185">
        <f t="shared" si="227"/>
        <v>57200</v>
      </c>
      <c r="AG296" s="185">
        <f t="shared" si="227"/>
        <v>57200</v>
      </c>
      <c r="AH296" s="185">
        <f t="shared" si="227"/>
        <v>57200</v>
      </c>
      <c r="AI296" s="185">
        <f t="shared" si="227"/>
        <v>57200</v>
      </c>
      <c r="AJ296" s="185">
        <f t="shared" si="227"/>
        <v>57200</v>
      </c>
      <c r="AK296" s="185">
        <f t="shared" si="227"/>
        <v>57200</v>
      </c>
      <c r="AL296" s="185">
        <f t="shared" si="227"/>
        <v>100100</v>
      </c>
      <c r="AM296" s="185">
        <f t="shared" si="227"/>
        <v>85800</v>
      </c>
      <c r="AN296" s="259"/>
      <c r="AO296" s="204"/>
      <c r="AP296" s="204"/>
      <c r="AQ296" s="204"/>
      <c r="AR296" s="204"/>
      <c r="AS296" s="204"/>
      <c r="AT296" s="204"/>
      <c r="AU296" s="204"/>
      <c r="AV296" s="204"/>
      <c r="AW296" s="204"/>
      <c r="AX296" s="204"/>
    </row>
    <row r="297" spans="1:50" ht="15.75" customHeight="1" x14ac:dyDescent="0.2">
      <c r="A297" s="361"/>
      <c r="B297" s="353" t="s">
        <v>219</v>
      </c>
      <c r="C297" s="354"/>
      <c r="D297" s="355"/>
      <c r="E297" s="355"/>
      <c r="F297" s="356"/>
      <c r="G297" s="356"/>
      <c r="H297" s="355">
        <v>0</v>
      </c>
      <c r="I297" s="355">
        <v>0</v>
      </c>
      <c r="J297" s="355">
        <v>300</v>
      </c>
      <c r="K297" s="355">
        <v>300</v>
      </c>
      <c r="L297" s="355">
        <v>300</v>
      </c>
      <c r="M297" s="355">
        <v>300</v>
      </c>
      <c r="N297" s="355">
        <v>700</v>
      </c>
      <c r="O297" s="357">
        <v>600</v>
      </c>
      <c r="P297" s="355">
        <v>400</v>
      </c>
      <c r="Q297" s="355">
        <v>400</v>
      </c>
      <c r="R297" s="355">
        <v>400</v>
      </c>
      <c r="S297" s="355">
        <v>400</v>
      </c>
      <c r="T297" s="355">
        <v>400</v>
      </c>
      <c r="U297" s="355">
        <v>400</v>
      </c>
      <c r="V297" s="355">
        <v>400</v>
      </c>
      <c r="W297" s="355">
        <v>400</v>
      </c>
      <c r="X297" s="355">
        <v>400</v>
      </c>
      <c r="Y297" s="355">
        <v>400</v>
      </c>
      <c r="Z297" s="355">
        <v>700</v>
      </c>
      <c r="AA297" s="357">
        <v>600</v>
      </c>
      <c r="AB297" s="355">
        <v>400</v>
      </c>
      <c r="AC297" s="355">
        <v>400</v>
      </c>
      <c r="AD297" s="355">
        <v>400</v>
      </c>
      <c r="AE297" s="355">
        <v>400</v>
      </c>
      <c r="AF297" s="355">
        <v>400</v>
      </c>
      <c r="AG297" s="355">
        <v>400</v>
      </c>
      <c r="AH297" s="355">
        <v>400</v>
      </c>
      <c r="AI297" s="355">
        <v>400</v>
      </c>
      <c r="AJ297" s="355">
        <v>400</v>
      </c>
      <c r="AK297" s="355">
        <v>400</v>
      </c>
      <c r="AL297" s="355">
        <v>700</v>
      </c>
      <c r="AM297" s="355">
        <v>600</v>
      </c>
      <c r="AN297" s="358"/>
      <c r="AO297" s="359"/>
      <c r="AP297" s="359"/>
      <c r="AQ297" s="359"/>
      <c r="AR297" s="359"/>
      <c r="AS297" s="359"/>
      <c r="AT297" s="359"/>
      <c r="AU297" s="359"/>
      <c r="AV297" s="359"/>
      <c r="AW297" s="359"/>
      <c r="AX297" s="360"/>
    </row>
    <row r="298" spans="1:50" ht="15.75" customHeight="1" x14ac:dyDescent="0.2">
      <c r="A298" s="120"/>
      <c r="B298" s="166" t="s">
        <v>220</v>
      </c>
      <c r="C298" s="127"/>
      <c r="D298" s="5"/>
      <c r="E298" s="5"/>
      <c r="F298" s="5"/>
      <c r="G298" s="5"/>
      <c r="H298" s="5">
        <f t="shared" ref="H298:AM298" si="228">$C294</f>
        <v>143</v>
      </c>
      <c r="I298" s="5">
        <f t="shared" si="228"/>
        <v>143</v>
      </c>
      <c r="J298" s="5">
        <f t="shared" si="228"/>
        <v>143</v>
      </c>
      <c r="K298" s="5">
        <f t="shared" si="228"/>
        <v>143</v>
      </c>
      <c r="L298" s="5">
        <f t="shared" si="228"/>
        <v>143</v>
      </c>
      <c r="M298" s="5">
        <f t="shared" si="228"/>
        <v>143</v>
      </c>
      <c r="N298" s="5">
        <f t="shared" si="228"/>
        <v>143</v>
      </c>
      <c r="O298" s="264">
        <f t="shared" si="228"/>
        <v>143</v>
      </c>
      <c r="P298" s="5">
        <f t="shared" si="228"/>
        <v>143</v>
      </c>
      <c r="Q298" s="5">
        <f t="shared" si="228"/>
        <v>143</v>
      </c>
      <c r="R298" s="5">
        <f t="shared" si="228"/>
        <v>143</v>
      </c>
      <c r="S298" s="5">
        <f t="shared" si="228"/>
        <v>143</v>
      </c>
      <c r="T298" s="5">
        <f t="shared" si="228"/>
        <v>143</v>
      </c>
      <c r="U298" s="5">
        <f t="shared" si="228"/>
        <v>143</v>
      </c>
      <c r="V298" s="5">
        <f t="shared" si="228"/>
        <v>143</v>
      </c>
      <c r="W298" s="5">
        <f t="shared" si="228"/>
        <v>143</v>
      </c>
      <c r="X298" s="5">
        <f t="shared" si="228"/>
        <v>143</v>
      </c>
      <c r="Y298" s="5">
        <f t="shared" si="228"/>
        <v>143</v>
      </c>
      <c r="Z298" s="5">
        <f t="shared" si="228"/>
        <v>143</v>
      </c>
      <c r="AA298" s="264">
        <f t="shared" si="228"/>
        <v>143</v>
      </c>
      <c r="AB298" s="5">
        <f t="shared" si="228"/>
        <v>143</v>
      </c>
      <c r="AC298" s="5">
        <f t="shared" si="228"/>
        <v>143</v>
      </c>
      <c r="AD298" s="5">
        <f t="shared" si="228"/>
        <v>143</v>
      </c>
      <c r="AE298" s="5">
        <f t="shared" si="228"/>
        <v>143</v>
      </c>
      <c r="AF298" s="5">
        <f t="shared" si="228"/>
        <v>143</v>
      </c>
      <c r="AG298" s="5">
        <f t="shared" si="228"/>
        <v>143</v>
      </c>
      <c r="AH298" s="5">
        <f t="shared" si="228"/>
        <v>143</v>
      </c>
      <c r="AI298" s="5">
        <f t="shared" si="228"/>
        <v>143</v>
      </c>
      <c r="AJ298" s="5">
        <f t="shared" si="228"/>
        <v>143</v>
      </c>
      <c r="AK298" s="5">
        <f t="shared" si="228"/>
        <v>143</v>
      </c>
      <c r="AL298" s="5">
        <f t="shared" si="228"/>
        <v>143</v>
      </c>
      <c r="AM298" s="5">
        <f t="shared" si="228"/>
        <v>143</v>
      </c>
      <c r="AN298" s="8"/>
      <c r="AO298" s="9"/>
      <c r="AP298" s="9"/>
      <c r="AQ298" s="9"/>
      <c r="AR298" s="9"/>
      <c r="AS298" s="9"/>
      <c r="AT298" s="9"/>
      <c r="AU298" s="9"/>
      <c r="AV298" s="9"/>
      <c r="AW298" s="9"/>
      <c r="AX298" s="9"/>
    </row>
    <row r="299" spans="1:50" ht="15.75" customHeight="1" x14ac:dyDescent="0.2">
      <c r="A299" s="120"/>
      <c r="B299" s="252" t="s">
        <v>221</v>
      </c>
      <c r="C299" s="125">
        <v>143</v>
      </c>
      <c r="D299" s="185">
        <f t="shared" ref="D299:AM299" si="229">$C299*D300</f>
        <v>356356</v>
      </c>
      <c r="E299" s="185">
        <f t="shared" si="229"/>
        <v>325325</v>
      </c>
      <c r="F299" s="185">
        <f t="shared" si="229"/>
        <v>247819</v>
      </c>
      <c r="G299" s="185">
        <f t="shared" si="229"/>
        <v>193479</v>
      </c>
      <c r="H299" s="185">
        <f t="shared" si="229"/>
        <v>139139</v>
      </c>
      <c r="I299" s="185">
        <f t="shared" si="229"/>
        <v>84799</v>
      </c>
      <c r="J299" s="185">
        <f t="shared" si="229"/>
        <v>73359</v>
      </c>
      <c r="K299" s="185">
        <f t="shared" si="229"/>
        <v>61919</v>
      </c>
      <c r="L299" s="185">
        <f t="shared" si="229"/>
        <v>50479</v>
      </c>
      <c r="M299" s="185">
        <f t="shared" si="229"/>
        <v>39039</v>
      </c>
      <c r="N299" s="185">
        <f t="shared" si="229"/>
        <v>76648</v>
      </c>
      <c r="O299" s="339">
        <f t="shared" si="229"/>
        <v>31317</v>
      </c>
      <c r="P299" s="185">
        <f t="shared" si="229"/>
        <v>27599</v>
      </c>
      <c r="Q299" s="185">
        <f t="shared" si="229"/>
        <v>54769</v>
      </c>
      <c r="R299" s="185">
        <f t="shared" si="229"/>
        <v>40040</v>
      </c>
      <c r="S299" s="185">
        <f t="shared" si="229"/>
        <v>42900</v>
      </c>
      <c r="T299" s="185">
        <f t="shared" si="229"/>
        <v>45760</v>
      </c>
      <c r="U299" s="185">
        <f t="shared" si="229"/>
        <v>48620</v>
      </c>
      <c r="V299" s="185">
        <f t="shared" si="229"/>
        <v>51480</v>
      </c>
      <c r="W299" s="185">
        <f t="shared" si="229"/>
        <v>54340</v>
      </c>
      <c r="X299" s="185">
        <f t="shared" si="229"/>
        <v>57200</v>
      </c>
      <c r="Y299" s="185">
        <f t="shared" si="229"/>
        <v>60060</v>
      </c>
      <c r="Z299" s="185">
        <f t="shared" si="229"/>
        <v>97669</v>
      </c>
      <c r="AA299" s="339">
        <f t="shared" si="229"/>
        <v>52338</v>
      </c>
      <c r="AB299" s="185">
        <f t="shared" si="229"/>
        <v>48620</v>
      </c>
      <c r="AC299" s="185">
        <f t="shared" si="229"/>
        <v>75790</v>
      </c>
      <c r="AD299" s="185">
        <f t="shared" si="229"/>
        <v>61061</v>
      </c>
      <c r="AE299" s="185">
        <f t="shared" si="229"/>
        <v>63921</v>
      </c>
      <c r="AF299" s="185">
        <f t="shared" si="229"/>
        <v>66781</v>
      </c>
      <c r="AG299" s="185">
        <f t="shared" si="229"/>
        <v>69641</v>
      </c>
      <c r="AH299" s="185">
        <f t="shared" si="229"/>
        <v>72501</v>
      </c>
      <c r="AI299" s="185">
        <f t="shared" si="229"/>
        <v>75361</v>
      </c>
      <c r="AJ299" s="185">
        <f t="shared" si="229"/>
        <v>78221</v>
      </c>
      <c r="AK299" s="185">
        <f t="shared" si="229"/>
        <v>81081</v>
      </c>
      <c r="AL299" s="185">
        <f t="shared" si="229"/>
        <v>118690</v>
      </c>
      <c r="AM299" s="185">
        <f t="shared" si="229"/>
        <v>73359</v>
      </c>
      <c r="AN299" s="8"/>
      <c r="AO299" s="9"/>
      <c r="AP299" s="9"/>
      <c r="AQ299" s="9"/>
      <c r="AR299" s="9"/>
      <c r="AS299" s="9"/>
      <c r="AT299" s="9"/>
      <c r="AU299" s="9"/>
      <c r="AV299" s="9"/>
      <c r="AW299" s="9"/>
      <c r="AX299" s="9"/>
    </row>
    <row r="300" spans="1:50" ht="15.75" customHeight="1" x14ac:dyDescent="0.2">
      <c r="A300" s="260"/>
      <c r="B300" s="255" t="s">
        <v>222</v>
      </c>
      <c r="C300" s="127"/>
      <c r="D300" s="5">
        <f t="shared" ref="D300:AM300" si="230">D295+D297</f>
        <v>2492</v>
      </c>
      <c r="E300" s="5">
        <f t="shared" si="230"/>
        <v>2275</v>
      </c>
      <c r="F300" s="5">
        <f t="shared" si="230"/>
        <v>1733</v>
      </c>
      <c r="G300" s="5">
        <f t="shared" si="230"/>
        <v>1353</v>
      </c>
      <c r="H300" s="5">
        <f t="shared" si="230"/>
        <v>973</v>
      </c>
      <c r="I300" s="5">
        <f t="shared" si="230"/>
        <v>593</v>
      </c>
      <c r="J300" s="5">
        <f t="shared" si="230"/>
        <v>513</v>
      </c>
      <c r="K300" s="5">
        <f t="shared" si="230"/>
        <v>433</v>
      </c>
      <c r="L300" s="5">
        <f t="shared" si="230"/>
        <v>353</v>
      </c>
      <c r="M300" s="5">
        <f t="shared" si="230"/>
        <v>273</v>
      </c>
      <c r="N300" s="5">
        <f t="shared" si="230"/>
        <v>536</v>
      </c>
      <c r="O300" s="264">
        <f t="shared" si="230"/>
        <v>219</v>
      </c>
      <c r="P300" s="5">
        <f t="shared" si="230"/>
        <v>193</v>
      </c>
      <c r="Q300" s="5">
        <f t="shared" si="230"/>
        <v>383</v>
      </c>
      <c r="R300" s="5">
        <f t="shared" si="230"/>
        <v>280</v>
      </c>
      <c r="S300" s="5">
        <f t="shared" si="230"/>
        <v>300</v>
      </c>
      <c r="T300" s="5">
        <f t="shared" si="230"/>
        <v>320</v>
      </c>
      <c r="U300" s="5">
        <f t="shared" si="230"/>
        <v>340</v>
      </c>
      <c r="V300" s="5">
        <f t="shared" si="230"/>
        <v>360</v>
      </c>
      <c r="W300" s="5">
        <f t="shared" si="230"/>
        <v>380</v>
      </c>
      <c r="X300" s="5">
        <f t="shared" si="230"/>
        <v>400</v>
      </c>
      <c r="Y300" s="5">
        <f t="shared" si="230"/>
        <v>420</v>
      </c>
      <c r="Z300" s="5">
        <f t="shared" si="230"/>
        <v>683</v>
      </c>
      <c r="AA300" s="264">
        <f t="shared" si="230"/>
        <v>366</v>
      </c>
      <c r="AB300" s="5">
        <f t="shared" si="230"/>
        <v>340</v>
      </c>
      <c r="AC300" s="5">
        <f t="shared" si="230"/>
        <v>530</v>
      </c>
      <c r="AD300" s="5">
        <f t="shared" si="230"/>
        <v>427</v>
      </c>
      <c r="AE300" s="5">
        <f t="shared" si="230"/>
        <v>447</v>
      </c>
      <c r="AF300" s="5">
        <f t="shared" si="230"/>
        <v>467</v>
      </c>
      <c r="AG300" s="5">
        <f t="shared" si="230"/>
        <v>487</v>
      </c>
      <c r="AH300" s="5">
        <f t="shared" si="230"/>
        <v>507</v>
      </c>
      <c r="AI300" s="5">
        <f t="shared" si="230"/>
        <v>527</v>
      </c>
      <c r="AJ300" s="5">
        <f t="shared" si="230"/>
        <v>547</v>
      </c>
      <c r="AK300" s="5">
        <f t="shared" si="230"/>
        <v>567</v>
      </c>
      <c r="AL300" s="5">
        <f t="shared" si="230"/>
        <v>830</v>
      </c>
      <c r="AM300" s="5">
        <f t="shared" si="230"/>
        <v>513</v>
      </c>
      <c r="AN300" s="259"/>
      <c r="AO300" s="204"/>
      <c r="AP300" s="204"/>
      <c r="AQ300" s="204"/>
      <c r="AR300" s="204"/>
      <c r="AS300" s="204"/>
      <c r="AT300" s="204"/>
      <c r="AU300" s="204"/>
      <c r="AV300" s="204"/>
      <c r="AW300" s="204"/>
      <c r="AX300" s="204"/>
    </row>
    <row r="301" spans="1:50" ht="15.75" customHeight="1" x14ac:dyDescent="0.2">
      <c r="A301" s="120"/>
      <c r="B301" s="166" t="s">
        <v>112</v>
      </c>
      <c r="C301" s="127"/>
      <c r="D301" s="5">
        <f t="shared" ref="D301:AM301" si="231">D290-D299</f>
        <v>67210</v>
      </c>
      <c r="E301" s="5">
        <f t="shared" si="231"/>
        <v>31031</v>
      </c>
      <c r="F301" s="5">
        <f t="shared" si="231"/>
        <v>77506</v>
      </c>
      <c r="G301" s="5">
        <f t="shared" si="231"/>
        <v>54340</v>
      </c>
      <c r="H301" s="5">
        <f t="shared" si="231"/>
        <v>54340</v>
      </c>
      <c r="I301" s="5">
        <f t="shared" si="231"/>
        <v>54340</v>
      </c>
      <c r="J301" s="5">
        <f t="shared" si="231"/>
        <v>11440</v>
      </c>
      <c r="K301" s="5">
        <f t="shared" si="231"/>
        <v>11440</v>
      </c>
      <c r="L301" s="5">
        <f t="shared" si="231"/>
        <v>11440</v>
      </c>
      <c r="M301" s="5">
        <f t="shared" si="231"/>
        <v>11440</v>
      </c>
      <c r="N301" s="5">
        <f t="shared" si="231"/>
        <v>-37609</v>
      </c>
      <c r="O301" s="264">
        <f t="shared" si="231"/>
        <v>45331</v>
      </c>
      <c r="P301" s="5">
        <f t="shared" si="231"/>
        <v>3718</v>
      </c>
      <c r="Q301" s="5">
        <f t="shared" si="231"/>
        <v>-27170</v>
      </c>
      <c r="R301" s="5">
        <f t="shared" si="231"/>
        <v>14729</v>
      </c>
      <c r="S301" s="5">
        <f t="shared" si="231"/>
        <v>-2860</v>
      </c>
      <c r="T301" s="5">
        <f t="shared" si="231"/>
        <v>-2860</v>
      </c>
      <c r="U301" s="5">
        <f t="shared" si="231"/>
        <v>-2860</v>
      </c>
      <c r="V301" s="5">
        <f t="shared" si="231"/>
        <v>-2860</v>
      </c>
      <c r="W301" s="5">
        <f t="shared" si="231"/>
        <v>-2860</v>
      </c>
      <c r="X301" s="5">
        <f t="shared" si="231"/>
        <v>-2860</v>
      </c>
      <c r="Y301" s="5">
        <f t="shared" si="231"/>
        <v>-2860</v>
      </c>
      <c r="Z301" s="5">
        <f t="shared" si="231"/>
        <v>-37609</v>
      </c>
      <c r="AA301" s="264">
        <f t="shared" si="231"/>
        <v>45331</v>
      </c>
      <c r="AB301" s="5">
        <f t="shared" si="231"/>
        <v>3718</v>
      </c>
      <c r="AC301" s="5">
        <f t="shared" si="231"/>
        <v>-27170</v>
      </c>
      <c r="AD301" s="5">
        <f t="shared" si="231"/>
        <v>14729</v>
      </c>
      <c r="AE301" s="5">
        <f t="shared" si="231"/>
        <v>-2860</v>
      </c>
      <c r="AF301" s="5">
        <f t="shared" si="231"/>
        <v>-2860</v>
      </c>
      <c r="AG301" s="5">
        <f t="shared" si="231"/>
        <v>-2860</v>
      </c>
      <c r="AH301" s="5">
        <f t="shared" si="231"/>
        <v>-2860</v>
      </c>
      <c r="AI301" s="5">
        <f t="shared" si="231"/>
        <v>-2860</v>
      </c>
      <c r="AJ301" s="5">
        <f t="shared" si="231"/>
        <v>-2860</v>
      </c>
      <c r="AK301" s="5">
        <f t="shared" si="231"/>
        <v>-2860</v>
      </c>
      <c r="AL301" s="5">
        <f t="shared" si="231"/>
        <v>-37609</v>
      </c>
      <c r="AM301" s="5">
        <f t="shared" si="231"/>
        <v>45331</v>
      </c>
      <c r="AN301" s="8"/>
      <c r="AO301" s="9"/>
      <c r="AP301" s="9"/>
      <c r="AQ301" s="9"/>
      <c r="AR301" s="9"/>
      <c r="AS301" s="9"/>
      <c r="AT301" s="9"/>
      <c r="AU301" s="9"/>
      <c r="AV301" s="9"/>
      <c r="AW301" s="9"/>
      <c r="AX301" s="9"/>
    </row>
    <row r="302" spans="1:50" ht="15.75" customHeight="1" x14ac:dyDescent="0.2">
      <c r="A302" s="120"/>
      <c r="B302" s="166"/>
      <c r="C302" s="127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264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264"/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8"/>
      <c r="AO302" s="9"/>
      <c r="AP302" s="9"/>
      <c r="AQ302" s="9"/>
      <c r="AR302" s="9"/>
      <c r="AS302" s="9"/>
      <c r="AT302" s="9"/>
      <c r="AU302" s="9"/>
      <c r="AV302" s="9"/>
      <c r="AW302" s="9"/>
      <c r="AX302" s="9"/>
    </row>
    <row r="303" spans="1:50" ht="15.75" customHeight="1" x14ac:dyDescent="0.2">
      <c r="A303" s="120"/>
      <c r="B303" s="489" t="s">
        <v>294</v>
      </c>
      <c r="C303" s="477"/>
      <c r="D303" s="169" t="s">
        <v>17</v>
      </c>
      <c r="E303" s="169" t="s">
        <v>18</v>
      </c>
      <c r="F303" s="169" t="s">
        <v>19</v>
      </c>
      <c r="G303" s="169" t="s">
        <v>20</v>
      </c>
      <c r="H303" s="169" t="s">
        <v>21</v>
      </c>
      <c r="I303" s="169" t="s">
        <v>22</v>
      </c>
      <c r="J303" s="169" t="s">
        <v>23</v>
      </c>
      <c r="K303" s="169" t="s">
        <v>24</v>
      </c>
      <c r="L303" s="169" t="s">
        <v>25</v>
      </c>
      <c r="M303" s="169" t="s">
        <v>14</v>
      </c>
      <c r="N303" s="169" t="s">
        <v>15</v>
      </c>
      <c r="O303" s="350" t="s">
        <v>16</v>
      </c>
      <c r="P303" s="169" t="s">
        <v>17</v>
      </c>
      <c r="Q303" s="169" t="s">
        <v>18</v>
      </c>
      <c r="R303" s="169" t="s">
        <v>19</v>
      </c>
      <c r="S303" s="169" t="s">
        <v>20</v>
      </c>
      <c r="T303" s="169" t="s">
        <v>21</v>
      </c>
      <c r="U303" s="169" t="s">
        <v>22</v>
      </c>
      <c r="V303" s="169" t="s">
        <v>23</v>
      </c>
      <c r="W303" s="169" t="s">
        <v>24</v>
      </c>
      <c r="X303" s="169" t="s">
        <v>25</v>
      </c>
      <c r="Y303" s="169" t="s">
        <v>14</v>
      </c>
      <c r="Z303" s="169" t="s">
        <v>15</v>
      </c>
      <c r="AA303" s="350" t="s">
        <v>16</v>
      </c>
      <c r="AB303" s="169" t="s">
        <v>17</v>
      </c>
      <c r="AC303" s="169" t="s">
        <v>18</v>
      </c>
      <c r="AD303" s="169" t="s">
        <v>19</v>
      </c>
      <c r="AE303" s="169" t="s">
        <v>20</v>
      </c>
      <c r="AF303" s="169" t="s">
        <v>21</v>
      </c>
      <c r="AG303" s="169" t="s">
        <v>22</v>
      </c>
      <c r="AH303" s="169" t="s">
        <v>23</v>
      </c>
      <c r="AI303" s="169" t="s">
        <v>24</v>
      </c>
      <c r="AJ303" s="169" t="s">
        <v>25</v>
      </c>
      <c r="AK303" s="169" t="s">
        <v>14</v>
      </c>
      <c r="AL303" s="169" t="s">
        <v>15</v>
      </c>
      <c r="AM303" s="169" t="s">
        <v>16</v>
      </c>
      <c r="AN303" s="8"/>
      <c r="AO303" s="9"/>
      <c r="AP303" s="9"/>
      <c r="AQ303" s="9"/>
      <c r="AR303" s="9"/>
      <c r="AS303" s="9"/>
      <c r="AT303" s="9"/>
      <c r="AU303" s="9"/>
      <c r="AV303" s="9"/>
      <c r="AW303" s="9"/>
      <c r="AX303" s="9"/>
    </row>
    <row r="304" spans="1:50" ht="15.75" customHeight="1" x14ac:dyDescent="0.2">
      <c r="A304" s="120"/>
      <c r="B304" s="24" t="s">
        <v>109</v>
      </c>
      <c r="C304" s="249">
        <f>'Расчетный лист'!C93</f>
        <v>0</v>
      </c>
      <c r="D304" s="51" t="e">
        <f t="shared" ref="D304:AM304" si="232">-30/(D90/((D305+D314)/2))</f>
        <v>#DIV/0!</v>
      </c>
      <c r="E304" s="51" t="e">
        <f t="shared" si="232"/>
        <v>#DIV/0!</v>
      </c>
      <c r="F304" s="51" t="e">
        <f t="shared" si="232"/>
        <v>#DIV/0!</v>
      </c>
      <c r="G304" s="51" t="e">
        <f t="shared" si="232"/>
        <v>#DIV/0!</v>
      </c>
      <c r="H304" s="51">
        <f t="shared" si="232"/>
        <v>25.143716176989393</v>
      </c>
      <c r="I304" s="51">
        <f t="shared" si="232"/>
        <v>40.162200560049143</v>
      </c>
      <c r="J304" s="51">
        <f t="shared" si="232"/>
        <v>24.177159152501417</v>
      </c>
      <c r="K304" s="51">
        <f t="shared" si="232"/>
        <v>18.551000182853208</v>
      </c>
      <c r="L304" s="51">
        <f t="shared" si="232"/>
        <v>19.018301470792942</v>
      </c>
      <c r="M304" s="51">
        <f t="shared" si="232"/>
        <v>19.485602758732679</v>
      </c>
      <c r="N304" s="51">
        <f t="shared" si="232"/>
        <v>32.092992005679662</v>
      </c>
      <c r="O304" s="278">
        <f t="shared" si="232"/>
        <v>14.126463414055085</v>
      </c>
      <c r="P304" s="51">
        <f t="shared" si="232"/>
        <v>12.635404531383227</v>
      </c>
      <c r="Q304" s="51">
        <f t="shared" si="232"/>
        <v>37.82130376827417</v>
      </c>
      <c r="R304" s="51">
        <f t="shared" si="232"/>
        <v>16.829705448973499</v>
      </c>
      <c r="S304" s="51">
        <f t="shared" si="232"/>
        <v>17.908421351789986</v>
      </c>
      <c r="T304" s="51">
        <f t="shared" si="232"/>
        <v>18.37572263972972</v>
      </c>
      <c r="U304" s="51">
        <f t="shared" si="232"/>
        <v>18.843023927669456</v>
      </c>
      <c r="V304" s="51">
        <f t="shared" si="232"/>
        <v>19.31032521560919</v>
      </c>
      <c r="W304" s="51">
        <f t="shared" si="232"/>
        <v>19.777626503548923</v>
      </c>
      <c r="X304" s="51">
        <f t="shared" si="232"/>
        <v>20.24492779148866</v>
      </c>
      <c r="Y304" s="51">
        <f t="shared" si="232"/>
        <v>20.712229079428393</v>
      </c>
      <c r="Z304" s="51">
        <f t="shared" si="232"/>
        <v>33.244007529071432</v>
      </c>
      <c r="AA304" s="278">
        <f t="shared" si="232"/>
        <v>13.33479078634965</v>
      </c>
      <c r="AB304" s="51">
        <f t="shared" si="232"/>
        <v>8.3664357249769292</v>
      </c>
      <c r="AC304" s="51">
        <f t="shared" si="232"/>
        <v>28.564616727750796</v>
      </c>
      <c r="AD304" s="51">
        <f t="shared" si="232"/>
        <v>13.181842033547849</v>
      </c>
      <c r="AE304" s="51">
        <f t="shared" si="232"/>
        <v>13.041587414897755</v>
      </c>
      <c r="AF304" s="51">
        <f t="shared" si="232"/>
        <v>13.50888870283749</v>
      </c>
      <c r="AG304" s="51">
        <f t="shared" si="232"/>
        <v>13.976189990777227</v>
      </c>
      <c r="AH304" s="51">
        <f t="shared" si="232"/>
        <v>14.44349127871696</v>
      </c>
      <c r="AI304" s="51">
        <f t="shared" si="232"/>
        <v>14.910792566656692</v>
      </c>
      <c r="AJ304" s="51">
        <f t="shared" si="232"/>
        <v>15.378093854596429</v>
      </c>
      <c r="AK304" s="51">
        <f t="shared" si="232"/>
        <v>15.845395142536164</v>
      </c>
      <c r="AL304" s="51">
        <f t="shared" si="232"/>
        <v>28.677171389475436</v>
      </c>
      <c r="AM304" s="51">
        <f t="shared" si="232"/>
        <v>13.868324356356554</v>
      </c>
      <c r="AN304" s="8"/>
      <c r="AO304" s="9"/>
      <c r="AP304" s="9"/>
      <c r="AQ304" s="9"/>
      <c r="AR304" s="9"/>
      <c r="AS304" s="9"/>
      <c r="AT304" s="9"/>
      <c r="AU304" s="9"/>
      <c r="AV304" s="9"/>
      <c r="AW304" s="9"/>
      <c r="AX304" s="9"/>
    </row>
    <row r="305" spans="1:50" ht="15.75" customHeight="1" x14ac:dyDescent="0.2">
      <c r="A305" s="120"/>
      <c r="B305" s="186" t="s">
        <v>212</v>
      </c>
      <c r="C305" s="125"/>
      <c r="D305" s="154">
        <f t="shared" ref="D305:H305" si="233">D306*$C305</f>
        <v>0</v>
      </c>
      <c r="E305" s="154">
        <f t="shared" si="233"/>
        <v>0</v>
      </c>
      <c r="F305" s="154">
        <f t="shared" si="233"/>
        <v>0</v>
      </c>
      <c r="G305" s="154">
        <f t="shared" si="233"/>
        <v>0</v>
      </c>
      <c r="H305" s="154">
        <f t="shared" si="233"/>
        <v>0</v>
      </c>
      <c r="I305" s="154">
        <f t="shared" ref="I305:AM305" si="234">H314</f>
        <v>259959.7030566945</v>
      </c>
      <c r="J305" s="154">
        <f t="shared" si="234"/>
        <v>155275.40611338898</v>
      </c>
      <c r="K305" s="154">
        <f t="shared" si="234"/>
        <v>94691.109170083466</v>
      </c>
      <c r="L305" s="154">
        <f t="shared" si="234"/>
        <v>97106.812226777954</v>
      </c>
      <c r="M305" s="154">
        <f t="shared" si="234"/>
        <v>99522.515283472458</v>
      </c>
      <c r="N305" s="154">
        <f t="shared" si="234"/>
        <v>101938.21834016696</v>
      </c>
      <c r="O305" s="328">
        <f t="shared" si="234"/>
        <v>251666.35476296378</v>
      </c>
      <c r="P305" s="154">
        <f t="shared" si="234"/>
        <v>84118.067548746156</v>
      </c>
      <c r="Q305" s="154">
        <f t="shared" si="234"/>
        <v>64814.358346164612</v>
      </c>
      <c r="R305" s="154">
        <f t="shared" si="234"/>
        <v>140776.59908752641</v>
      </c>
      <c r="S305" s="154">
        <f t="shared" si="234"/>
        <v>91369.312961880438</v>
      </c>
      <c r="T305" s="154">
        <f t="shared" si="234"/>
        <v>93785.016018574941</v>
      </c>
      <c r="U305" s="154">
        <f t="shared" si="234"/>
        <v>96200.71907526943</v>
      </c>
      <c r="V305" s="154">
        <f t="shared" si="234"/>
        <v>98616.422131963933</v>
      </c>
      <c r="W305" s="154">
        <f t="shared" si="234"/>
        <v>101032.12518865842</v>
      </c>
      <c r="X305" s="154">
        <f t="shared" si="234"/>
        <v>103447.82824535292</v>
      </c>
      <c r="Y305" s="154">
        <f t="shared" si="234"/>
        <v>105863.53130204743</v>
      </c>
      <c r="Z305" s="154">
        <f t="shared" si="234"/>
        <v>108279.23435874192</v>
      </c>
      <c r="AA305" s="328">
        <f t="shared" si="234"/>
        <v>258007.37078153872</v>
      </c>
      <c r="AB305" s="154">
        <f t="shared" si="234"/>
        <v>58959.083567321126</v>
      </c>
      <c r="AC305" s="154">
        <f t="shared" si="234"/>
        <v>39655.374364739575</v>
      </c>
      <c r="AD305" s="154">
        <f t="shared" si="234"/>
        <v>115617.61510610137</v>
      </c>
      <c r="AE305" s="154">
        <f t="shared" si="234"/>
        <v>66210.328980455408</v>
      </c>
      <c r="AF305" s="154">
        <f t="shared" si="234"/>
        <v>68626.032037149896</v>
      </c>
      <c r="AG305" s="154">
        <f t="shared" si="234"/>
        <v>71041.7350938444</v>
      </c>
      <c r="AH305" s="154">
        <f t="shared" si="234"/>
        <v>73457.438150538888</v>
      </c>
      <c r="AI305" s="154">
        <f t="shared" si="234"/>
        <v>75873.141207233391</v>
      </c>
      <c r="AJ305" s="154">
        <f t="shared" si="234"/>
        <v>78288.84426392788</v>
      </c>
      <c r="AK305" s="154">
        <f t="shared" si="234"/>
        <v>80704.547320622383</v>
      </c>
      <c r="AL305" s="154">
        <f t="shared" si="234"/>
        <v>83120.250377316886</v>
      </c>
      <c r="AM305" s="154">
        <f t="shared" si="234"/>
        <v>232848.38680011369</v>
      </c>
      <c r="AN305" s="8"/>
      <c r="AO305" s="9"/>
      <c r="AP305" s="9"/>
      <c r="AQ305" s="9"/>
      <c r="AR305" s="9"/>
      <c r="AS305" s="9"/>
      <c r="AT305" s="9"/>
      <c r="AU305" s="9"/>
      <c r="AV305" s="9"/>
      <c r="AW305" s="9"/>
      <c r="AX305" s="9"/>
    </row>
    <row r="306" spans="1:50" ht="15.75" customHeight="1" x14ac:dyDescent="0.2">
      <c r="A306" s="120"/>
      <c r="B306" s="139" t="s">
        <v>213</v>
      </c>
      <c r="C306" s="125"/>
      <c r="D306" s="51">
        <f>C306</f>
        <v>0</v>
      </c>
      <c r="E306" s="51">
        <f t="shared" ref="E306:AM306" si="235">D315</f>
        <v>0</v>
      </c>
      <c r="F306" s="51">
        <f t="shared" si="235"/>
        <v>0</v>
      </c>
      <c r="G306" s="51">
        <f t="shared" si="235"/>
        <v>0</v>
      </c>
      <c r="H306" s="51">
        <f t="shared" si="235"/>
        <v>0</v>
      </c>
      <c r="I306" s="51">
        <f t="shared" si="235"/>
        <v>4126.3444929634043</v>
      </c>
      <c r="J306" s="51">
        <f t="shared" si="235"/>
        <v>2464.688985926809</v>
      </c>
      <c r="K306" s="51">
        <f t="shared" si="235"/>
        <v>1503.0334788902137</v>
      </c>
      <c r="L306" s="51">
        <f t="shared" si="235"/>
        <v>1541.3779718536184</v>
      </c>
      <c r="M306" s="51">
        <f t="shared" si="235"/>
        <v>1579.7224648170231</v>
      </c>
      <c r="N306" s="51">
        <f t="shared" si="235"/>
        <v>1618.0669577804279</v>
      </c>
      <c r="O306" s="278">
        <f t="shared" si="235"/>
        <v>3994.7040438565678</v>
      </c>
      <c r="P306" s="51">
        <f t="shared" si="235"/>
        <v>1335.2074214086692</v>
      </c>
      <c r="Q306" s="51">
        <f t="shared" si="235"/>
        <v>1028.7993388280097</v>
      </c>
      <c r="R306" s="51">
        <f t="shared" si="235"/>
        <v>2234.5491918654984</v>
      </c>
      <c r="S306" s="51">
        <f t="shared" si="235"/>
        <v>1450.3065549504831</v>
      </c>
      <c r="T306" s="51">
        <f t="shared" si="235"/>
        <v>1488.6510479138879</v>
      </c>
      <c r="U306" s="51">
        <f t="shared" si="235"/>
        <v>1526.9955408772926</v>
      </c>
      <c r="V306" s="51">
        <f t="shared" si="235"/>
        <v>1565.3400338406973</v>
      </c>
      <c r="W306" s="51">
        <f t="shared" si="235"/>
        <v>1603.684526804102</v>
      </c>
      <c r="X306" s="51">
        <f t="shared" si="235"/>
        <v>1642.0290197675067</v>
      </c>
      <c r="Y306" s="51">
        <f t="shared" si="235"/>
        <v>1680.3735127309114</v>
      </c>
      <c r="Z306" s="51">
        <f t="shared" si="235"/>
        <v>1718.7180056943162</v>
      </c>
      <c r="AA306" s="278">
        <f t="shared" si="235"/>
        <v>4095.3550917704561</v>
      </c>
      <c r="AB306" s="51">
        <f t="shared" si="235"/>
        <v>935.85846932255754</v>
      </c>
      <c r="AC306" s="51">
        <f t="shared" si="235"/>
        <v>629.450386741898</v>
      </c>
      <c r="AD306" s="51">
        <f t="shared" si="235"/>
        <v>1835.2002397793867</v>
      </c>
      <c r="AE306" s="51">
        <f t="shared" si="235"/>
        <v>1050.9576028643714</v>
      </c>
      <c r="AF306" s="51">
        <f t="shared" si="235"/>
        <v>1089.3020958277762</v>
      </c>
      <c r="AG306" s="51">
        <f t="shared" si="235"/>
        <v>1127.6465887911809</v>
      </c>
      <c r="AH306" s="51">
        <f t="shared" si="235"/>
        <v>1165.9910817545856</v>
      </c>
      <c r="AI306" s="51">
        <f t="shared" si="235"/>
        <v>1204.3355747179903</v>
      </c>
      <c r="AJ306" s="51">
        <f t="shared" si="235"/>
        <v>1242.680067681395</v>
      </c>
      <c r="AK306" s="51">
        <f t="shared" si="235"/>
        <v>1281.0245606447997</v>
      </c>
      <c r="AL306" s="51">
        <f t="shared" si="235"/>
        <v>1319.3690536082045</v>
      </c>
      <c r="AM306" s="51">
        <f t="shared" si="235"/>
        <v>3696.0061396843444</v>
      </c>
      <c r="AN306" s="8"/>
      <c r="AO306" s="9"/>
      <c r="AP306" s="9"/>
      <c r="AQ306" s="9"/>
      <c r="AR306" s="9"/>
      <c r="AS306" s="9"/>
      <c r="AT306" s="9"/>
      <c r="AU306" s="9"/>
      <c r="AV306" s="9"/>
      <c r="AW306" s="9"/>
      <c r="AX306" s="9"/>
    </row>
    <row r="307" spans="1:50" ht="15.75" customHeight="1" x14ac:dyDescent="0.2">
      <c r="A307" s="120"/>
      <c r="B307" s="485" t="s">
        <v>214</v>
      </c>
      <c r="C307" s="477"/>
      <c r="D307" s="51">
        <f t="shared" ref="D307:E307" si="236">D64</f>
        <v>0</v>
      </c>
      <c r="E307" s="51">
        <f t="shared" si="236"/>
        <v>0</v>
      </c>
      <c r="F307" s="158">
        <v>0</v>
      </c>
      <c r="G307" s="51"/>
      <c r="H307" s="51">
        <f t="shared" ref="H307:AM307" si="237">H61</f>
        <v>2461.6555070365953</v>
      </c>
      <c r="I307" s="51">
        <f t="shared" si="237"/>
        <v>2461.6555070365953</v>
      </c>
      <c r="J307" s="51">
        <f t="shared" si="237"/>
        <v>2461.6555070365953</v>
      </c>
      <c r="K307" s="51">
        <f t="shared" si="237"/>
        <v>2461.6555070365953</v>
      </c>
      <c r="L307" s="51">
        <f t="shared" si="237"/>
        <v>2461.6555070365953</v>
      </c>
      <c r="M307" s="51">
        <f t="shared" si="237"/>
        <v>2461.6555070365953</v>
      </c>
      <c r="N307" s="51">
        <f t="shared" si="237"/>
        <v>2623.3629139238601</v>
      </c>
      <c r="O307" s="278">
        <f t="shared" si="237"/>
        <v>5659.4966224478985</v>
      </c>
      <c r="P307" s="51">
        <f t="shared" si="237"/>
        <v>2806.4080825806595</v>
      </c>
      <c r="Q307" s="51">
        <f t="shared" si="237"/>
        <v>1294.2501469625113</v>
      </c>
      <c r="R307" s="51">
        <f t="shared" si="237"/>
        <v>3284.2426369150153</v>
      </c>
      <c r="S307" s="51">
        <f t="shared" si="237"/>
        <v>2461.6555070365953</v>
      </c>
      <c r="T307" s="51">
        <f t="shared" si="237"/>
        <v>2461.6555070365953</v>
      </c>
      <c r="U307" s="51">
        <f t="shared" si="237"/>
        <v>2461.6555070365953</v>
      </c>
      <c r="V307" s="51">
        <f t="shared" si="237"/>
        <v>2461.6555070365953</v>
      </c>
      <c r="W307" s="51">
        <f t="shared" si="237"/>
        <v>2461.6555070365953</v>
      </c>
      <c r="X307" s="51">
        <f t="shared" si="237"/>
        <v>2461.6555070365953</v>
      </c>
      <c r="Y307" s="51">
        <f t="shared" si="237"/>
        <v>2461.6555070365953</v>
      </c>
      <c r="Z307" s="51">
        <f t="shared" si="237"/>
        <v>2623.3629139238601</v>
      </c>
      <c r="AA307" s="278">
        <f t="shared" si="237"/>
        <v>5659.4966224478985</v>
      </c>
      <c r="AB307" s="51">
        <f t="shared" si="237"/>
        <v>2806.4080825806595</v>
      </c>
      <c r="AC307" s="51">
        <f t="shared" si="237"/>
        <v>1294.2501469625113</v>
      </c>
      <c r="AD307" s="51">
        <f t="shared" si="237"/>
        <v>3284.2426369150153</v>
      </c>
      <c r="AE307" s="51">
        <f t="shared" si="237"/>
        <v>2461.6555070365953</v>
      </c>
      <c r="AF307" s="51">
        <f t="shared" si="237"/>
        <v>2461.6555070365953</v>
      </c>
      <c r="AG307" s="51">
        <f t="shared" si="237"/>
        <v>2461.6555070365953</v>
      </c>
      <c r="AH307" s="51">
        <f t="shared" si="237"/>
        <v>2461.6555070365953</v>
      </c>
      <c r="AI307" s="51">
        <f t="shared" si="237"/>
        <v>2461.6555070365953</v>
      </c>
      <c r="AJ307" s="51">
        <f t="shared" si="237"/>
        <v>2461.6555070365953</v>
      </c>
      <c r="AK307" s="51">
        <f t="shared" si="237"/>
        <v>2461.6555070365953</v>
      </c>
      <c r="AL307" s="51">
        <f t="shared" si="237"/>
        <v>2623.3629139238601</v>
      </c>
      <c r="AM307" s="51">
        <f t="shared" si="237"/>
        <v>5659.4966224478985</v>
      </c>
      <c r="AN307" s="8"/>
      <c r="AO307" s="9"/>
      <c r="AP307" s="9"/>
      <c r="AQ307" s="9"/>
      <c r="AR307" s="9"/>
      <c r="AS307" s="9"/>
      <c r="AT307" s="9"/>
      <c r="AU307" s="9"/>
      <c r="AV307" s="9"/>
      <c r="AW307" s="9"/>
      <c r="AX307" s="9"/>
    </row>
    <row r="308" spans="1:50" ht="15.75" customHeight="1" x14ac:dyDescent="0.2">
      <c r="A308" s="120"/>
      <c r="B308" s="46" t="s">
        <v>215</v>
      </c>
      <c r="C308" s="125">
        <v>63</v>
      </c>
      <c r="D308" s="5">
        <f t="shared" ref="D308:AM308" si="238">D307*$C308</f>
        <v>0</v>
      </c>
      <c r="E308" s="5">
        <f t="shared" si="238"/>
        <v>0</v>
      </c>
      <c r="F308" s="5">
        <f t="shared" si="238"/>
        <v>0</v>
      </c>
      <c r="G308" s="5">
        <f t="shared" si="238"/>
        <v>0</v>
      </c>
      <c r="H308" s="5">
        <f t="shared" si="238"/>
        <v>155084.2969433055</v>
      </c>
      <c r="I308" s="5">
        <f t="shared" si="238"/>
        <v>155084.2969433055</v>
      </c>
      <c r="J308" s="5">
        <f t="shared" si="238"/>
        <v>155084.2969433055</v>
      </c>
      <c r="K308" s="5">
        <f t="shared" si="238"/>
        <v>155084.2969433055</v>
      </c>
      <c r="L308" s="5">
        <f t="shared" si="238"/>
        <v>155084.2969433055</v>
      </c>
      <c r="M308" s="5">
        <f t="shared" si="238"/>
        <v>155084.2969433055</v>
      </c>
      <c r="N308" s="5">
        <f t="shared" si="238"/>
        <v>165271.86357720318</v>
      </c>
      <c r="O308" s="264">
        <f t="shared" si="238"/>
        <v>356548.28721421759</v>
      </c>
      <c r="P308" s="5">
        <f t="shared" si="238"/>
        <v>176803.70920258155</v>
      </c>
      <c r="Q308" s="5">
        <f t="shared" si="238"/>
        <v>81537.759258638209</v>
      </c>
      <c r="R308" s="5">
        <f t="shared" si="238"/>
        <v>206907.28612564597</v>
      </c>
      <c r="S308" s="5">
        <f t="shared" si="238"/>
        <v>155084.2969433055</v>
      </c>
      <c r="T308" s="5">
        <f t="shared" si="238"/>
        <v>155084.2969433055</v>
      </c>
      <c r="U308" s="5">
        <f t="shared" si="238"/>
        <v>155084.2969433055</v>
      </c>
      <c r="V308" s="5">
        <f t="shared" si="238"/>
        <v>155084.2969433055</v>
      </c>
      <c r="W308" s="5">
        <f t="shared" si="238"/>
        <v>155084.2969433055</v>
      </c>
      <c r="X308" s="5">
        <f t="shared" si="238"/>
        <v>155084.2969433055</v>
      </c>
      <c r="Y308" s="5">
        <f t="shared" si="238"/>
        <v>155084.2969433055</v>
      </c>
      <c r="Z308" s="5">
        <f t="shared" si="238"/>
        <v>165271.86357720318</v>
      </c>
      <c r="AA308" s="264">
        <f t="shared" si="238"/>
        <v>356548.28721421759</v>
      </c>
      <c r="AB308" s="5">
        <f t="shared" si="238"/>
        <v>176803.70920258155</v>
      </c>
      <c r="AC308" s="5">
        <f t="shared" si="238"/>
        <v>81537.759258638209</v>
      </c>
      <c r="AD308" s="5">
        <f t="shared" si="238"/>
        <v>206907.28612564597</v>
      </c>
      <c r="AE308" s="5">
        <f t="shared" si="238"/>
        <v>155084.2969433055</v>
      </c>
      <c r="AF308" s="5">
        <f t="shared" si="238"/>
        <v>155084.2969433055</v>
      </c>
      <c r="AG308" s="5">
        <f t="shared" si="238"/>
        <v>155084.2969433055</v>
      </c>
      <c r="AH308" s="5">
        <f t="shared" si="238"/>
        <v>155084.2969433055</v>
      </c>
      <c r="AI308" s="5">
        <f t="shared" si="238"/>
        <v>155084.2969433055</v>
      </c>
      <c r="AJ308" s="5">
        <f t="shared" si="238"/>
        <v>155084.2969433055</v>
      </c>
      <c r="AK308" s="5">
        <f t="shared" si="238"/>
        <v>155084.2969433055</v>
      </c>
      <c r="AL308" s="5">
        <f t="shared" si="238"/>
        <v>165271.86357720318</v>
      </c>
      <c r="AM308" s="5">
        <f t="shared" si="238"/>
        <v>356548.28721421759</v>
      </c>
      <c r="AN308" s="8"/>
      <c r="AO308" s="9"/>
      <c r="AP308" s="9"/>
      <c r="AQ308" s="9"/>
      <c r="AR308" s="9"/>
      <c r="AS308" s="9"/>
      <c r="AT308" s="9"/>
      <c r="AU308" s="9"/>
      <c r="AV308" s="9"/>
      <c r="AW308" s="9"/>
      <c r="AX308" s="9"/>
    </row>
    <row r="309" spans="1:50" ht="15.75" customHeight="1" x14ac:dyDescent="0.2">
      <c r="A309" s="120"/>
      <c r="B309" s="252" t="s">
        <v>216</v>
      </c>
      <c r="C309" s="125">
        <v>63</v>
      </c>
      <c r="D309" s="185">
        <f t="shared" ref="D309:AM309" si="239">D310*$C309</f>
        <v>0</v>
      </c>
      <c r="E309" s="185">
        <f t="shared" si="239"/>
        <v>0</v>
      </c>
      <c r="F309" s="185">
        <f t="shared" si="239"/>
        <v>0</v>
      </c>
      <c r="G309" s="185">
        <f t="shared" si="239"/>
        <v>0</v>
      </c>
      <c r="H309" s="185">
        <f t="shared" si="239"/>
        <v>-155084.2969433055</v>
      </c>
      <c r="I309" s="185">
        <f t="shared" si="239"/>
        <v>104875.40611338896</v>
      </c>
      <c r="J309" s="185">
        <f t="shared" si="239"/>
        <v>191.10917008346314</v>
      </c>
      <c r="K309" s="185">
        <f t="shared" si="239"/>
        <v>-60393.187773222038</v>
      </c>
      <c r="L309" s="185">
        <f t="shared" si="239"/>
        <v>-57977.484716527542</v>
      </c>
      <c r="M309" s="185">
        <f t="shared" si="239"/>
        <v>-55561.781659833046</v>
      </c>
      <c r="N309" s="185">
        <f t="shared" si="239"/>
        <v>-63333.645237036231</v>
      </c>
      <c r="O309" s="339">
        <f t="shared" si="239"/>
        <v>-104881.93245125384</v>
      </c>
      <c r="P309" s="185">
        <f t="shared" si="239"/>
        <v>-92685.641653835395</v>
      </c>
      <c r="Q309" s="185">
        <f t="shared" si="239"/>
        <v>-16723.4009124736</v>
      </c>
      <c r="R309" s="185">
        <f t="shared" si="239"/>
        <v>-66130.687038119562</v>
      </c>
      <c r="S309" s="185">
        <f t="shared" si="239"/>
        <v>-63714.983981425066</v>
      </c>
      <c r="T309" s="185">
        <f t="shared" si="239"/>
        <v>-61299.28092473057</v>
      </c>
      <c r="U309" s="185">
        <f t="shared" si="239"/>
        <v>-58883.577868036067</v>
      </c>
      <c r="V309" s="185">
        <f t="shared" si="239"/>
        <v>-56467.874811341571</v>
      </c>
      <c r="W309" s="185">
        <f t="shared" si="239"/>
        <v>-54052.171754647075</v>
      </c>
      <c r="X309" s="185">
        <f t="shared" si="239"/>
        <v>-51636.46869795258</v>
      </c>
      <c r="Y309" s="185">
        <f t="shared" si="239"/>
        <v>-49220.765641258084</v>
      </c>
      <c r="Z309" s="185">
        <f t="shared" si="239"/>
        <v>-56992.629218461268</v>
      </c>
      <c r="AA309" s="339">
        <f t="shared" si="239"/>
        <v>-98540.916432678874</v>
      </c>
      <c r="AB309" s="185">
        <f t="shared" si="239"/>
        <v>-117844.62563526043</v>
      </c>
      <c r="AC309" s="185">
        <f t="shared" si="239"/>
        <v>-41882.384893898634</v>
      </c>
      <c r="AD309" s="185">
        <f t="shared" si="239"/>
        <v>-91289.671019544592</v>
      </c>
      <c r="AE309" s="185">
        <f t="shared" si="239"/>
        <v>-88873.967962850104</v>
      </c>
      <c r="AF309" s="185">
        <f t="shared" si="239"/>
        <v>-86458.2649061556</v>
      </c>
      <c r="AG309" s="185">
        <f t="shared" si="239"/>
        <v>-84042.561849461112</v>
      </c>
      <c r="AH309" s="185">
        <f t="shared" si="239"/>
        <v>-81626.858792766609</v>
      </c>
      <c r="AI309" s="185">
        <f t="shared" si="239"/>
        <v>-79211.15573607212</v>
      </c>
      <c r="AJ309" s="185">
        <f t="shared" si="239"/>
        <v>-76795.452679377617</v>
      </c>
      <c r="AK309" s="185">
        <f t="shared" si="239"/>
        <v>-74379.749622683114</v>
      </c>
      <c r="AL309" s="185">
        <f t="shared" si="239"/>
        <v>-82151.613199886298</v>
      </c>
      <c r="AM309" s="185">
        <f t="shared" si="239"/>
        <v>-123699.90041410392</v>
      </c>
      <c r="AN309" s="8"/>
      <c r="AO309" s="9"/>
      <c r="AP309" s="9"/>
      <c r="AQ309" s="9"/>
      <c r="AR309" s="9"/>
      <c r="AS309" s="9"/>
      <c r="AT309" s="9"/>
      <c r="AU309" s="9"/>
      <c r="AV309" s="9"/>
      <c r="AW309" s="9"/>
      <c r="AX309" s="9"/>
    </row>
    <row r="310" spans="1:50" ht="15.75" customHeight="1" x14ac:dyDescent="0.2">
      <c r="A310" s="120"/>
      <c r="B310" s="139" t="s">
        <v>217</v>
      </c>
      <c r="C310" s="127"/>
      <c r="D310" s="5">
        <f t="shared" ref="D310:AM310" si="240">D306-D307</f>
        <v>0</v>
      </c>
      <c r="E310" s="5">
        <f t="shared" si="240"/>
        <v>0</v>
      </c>
      <c r="F310" s="5">
        <f t="shared" si="240"/>
        <v>0</v>
      </c>
      <c r="G310" s="5">
        <f t="shared" si="240"/>
        <v>0</v>
      </c>
      <c r="H310" s="5">
        <f t="shared" si="240"/>
        <v>-2461.6555070365953</v>
      </c>
      <c r="I310" s="5">
        <f t="shared" si="240"/>
        <v>1664.688985926809</v>
      </c>
      <c r="J310" s="5">
        <f t="shared" si="240"/>
        <v>3.0334788902137007</v>
      </c>
      <c r="K310" s="5">
        <f t="shared" si="240"/>
        <v>-958.62202814638158</v>
      </c>
      <c r="L310" s="5">
        <f t="shared" si="240"/>
        <v>-920.27753518297686</v>
      </c>
      <c r="M310" s="5">
        <f t="shared" si="240"/>
        <v>-881.93304221957214</v>
      </c>
      <c r="N310" s="5">
        <f t="shared" si="240"/>
        <v>-1005.2959561434322</v>
      </c>
      <c r="O310" s="264">
        <f t="shared" si="240"/>
        <v>-1664.7925785913308</v>
      </c>
      <c r="P310" s="5">
        <f t="shared" si="240"/>
        <v>-1471.2006611719903</v>
      </c>
      <c r="Q310" s="5">
        <f t="shared" si="240"/>
        <v>-265.45080813450159</v>
      </c>
      <c r="R310" s="5">
        <f t="shared" si="240"/>
        <v>-1049.6934450495169</v>
      </c>
      <c r="S310" s="5">
        <f t="shared" si="240"/>
        <v>-1011.3489520861121</v>
      </c>
      <c r="T310" s="5">
        <f t="shared" si="240"/>
        <v>-973.00445912270743</v>
      </c>
      <c r="U310" s="5">
        <f t="shared" si="240"/>
        <v>-934.65996615930271</v>
      </c>
      <c r="V310" s="5">
        <f t="shared" si="240"/>
        <v>-896.31547319589799</v>
      </c>
      <c r="W310" s="5">
        <f t="shared" si="240"/>
        <v>-857.97098023249328</v>
      </c>
      <c r="X310" s="5">
        <f t="shared" si="240"/>
        <v>-819.62648726908856</v>
      </c>
      <c r="Y310" s="5">
        <f t="shared" si="240"/>
        <v>-781.28199430568384</v>
      </c>
      <c r="Z310" s="5">
        <f t="shared" si="240"/>
        <v>-904.64490822954394</v>
      </c>
      <c r="AA310" s="264">
        <f t="shared" si="240"/>
        <v>-1564.1415306774425</v>
      </c>
      <c r="AB310" s="5">
        <f t="shared" si="240"/>
        <v>-1870.549613258102</v>
      </c>
      <c r="AC310" s="5">
        <f t="shared" si="240"/>
        <v>-664.79976022061328</v>
      </c>
      <c r="AD310" s="5">
        <f t="shared" si="240"/>
        <v>-1449.0423971356286</v>
      </c>
      <c r="AE310" s="5">
        <f t="shared" si="240"/>
        <v>-1410.6979041722238</v>
      </c>
      <c r="AF310" s="5">
        <f t="shared" si="240"/>
        <v>-1372.3534112088191</v>
      </c>
      <c r="AG310" s="5">
        <f t="shared" si="240"/>
        <v>-1334.0089182454144</v>
      </c>
      <c r="AH310" s="5">
        <f t="shared" si="240"/>
        <v>-1295.6644252820097</v>
      </c>
      <c r="AI310" s="5">
        <f t="shared" si="240"/>
        <v>-1257.319932318605</v>
      </c>
      <c r="AJ310" s="5">
        <f t="shared" si="240"/>
        <v>-1218.9754393552003</v>
      </c>
      <c r="AK310" s="5">
        <f t="shared" si="240"/>
        <v>-1180.6309463917955</v>
      </c>
      <c r="AL310" s="5">
        <f t="shared" si="240"/>
        <v>-1303.9938603156556</v>
      </c>
      <c r="AM310" s="5">
        <f t="shared" si="240"/>
        <v>-1963.4904827635542</v>
      </c>
      <c r="AN310" s="8"/>
      <c r="AO310" s="9"/>
      <c r="AP310" s="9"/>
      <c r="AQ310" s="9"/>
      <c r="AR310" s="9"/>
      <c r="AS310" s="9"/>
      <c r="AT310" s="9"/>
      <c r="AU310" s="9"/>
      <c r="AV310" s="9"/>
      <c r="AW310" s="9"/>
      <c r="AX310" s="9"/>
    </row>
    <row r="311" spans="1:50" ht="15.75" customHeight="1" x14ac:dyDescent="0.2">
      <c r="A311" s="120"/>
      <c r="B311" s="252" t="s">
        <v>218</v>
      </c>
      <c r="C311" s="127"/>
      <c r="D311" s="183">
        <v>0</v>
      </c>
      <c r="E311" s="183">
        <v>0</v>
      </c>
      <c r="F311" s="185"/>
      <c r="G311" s="185"/>
      <c r="H311" s="185">
        <f t="shared" ref="H311:AM311" si="241">H312*H313</f>
        <v>415044</v>
      </c>
      <c r="I311" s="185">
        <f t="shared" si="241"/>
        <v>50400</v>
      </c>
      <c r="J311" s="185">
        <f t="shared" si="241"/>
        <v>94500</v>
      </c>
      <c r="K311" s="185">
        <f t="shared" si="241"/>
        <v>157500</v>
      </c>
      <c r="L311" s="185">
        <f t="shared" si="241"/>
        <v>157500</v>
      </c>
      <c r="M311" s="185">
        <f t="shared" si="241"/>
        <v>157500</v>
      </c>
      <c r="N311" s="185">
        <f t="shared" si="241"/>
        <v>315000</v>
      </c>
      <c r="O311" s="339">
        <f t="shared" si="241"/>
        <v>189000</v>
      </c>
      <c r="P311" s="185">
        <f t="shared" si="241"/>
        <v>157500</v>
      </c>
      <c r="Q311" s="185">
        <f t="shared" si="241"/>
        <v>157500</v>
      </c>
      <c r="R311" s="185">
        <f t="shared" si="241"/>
        <v>157500</v>
      </c>
      <c r="S311" s="185">
        <f t="shared" si="241"/>
        <v>157500</v>
      </c>
      <c r="T311" s="185">
        <f t="shared" si="241"/>
        <v>157500</v>
      </c>
      <c r="U311" s="185">
        <f t="shared" si="241"/>
        <v>157500</v>
      </c>
      <c r="V311" s="185">
        <f t="shared" si="241"/>
        <v>157500</v>
      </c>
      <c r="W311" s="185">
        <f t="shared" si="241"/>
        <v>157500</v>
      </c>
      <c r="X311" s="185">
        <f t="shared" si="241"/>
        <v>157500</v>
      </c>
      <c r="Y311" s="185">
        <f t="shared" si="241"/>
        <v>157500</v>
      </c>
      <c r="Z311" s="185">
        <f t="shared" si="241"/>
        <v>315000</v>
      </c>
      <c r="AA311" s="339">
        <f t="shared" si="241"/>
        <v>157500</v>
      </c>
      <c r="AB311" s="185">
        <f t="shared" si="241"/>
        <v>157500</v>
      </c>
      <c r="AC311" s="185">
        <f t="shared" si="241"/>
        <v>157500</v>
      </c>
      <c r="AD311" s="185">
        <f t="shared" si="241"/>
        <v>157500</v>
      </c>
      <c r="AE311" s="185">
        <f t="shared" si="241"/>
        <v>157500</v>
      </c>
      <c r="AF311" s="185">
        <f t="shared" si="241"/>
        <v>157500</v>
      </c>
      <c r="AG311" s="185">
        <f t="shared" si="241"/>
        <v>157500</v>
      </c>
      <c r="AH311" s="185">
        <f t="shared" si="241"/>
        <v>157500</v>
      </c>
      <c r="AI311" s="185">
        <f t="shared" si="241"/>
        <v>157500</v>
      </c>
      <c r="AJ311" s="185">
        <f t="shared" si="241"/>
        <v>157500</v>
      </c>
      <c r="AK311" s="185">
        <f t="shared" si="241"/>
        <v>157500</v>
      </c>
      <c r="AL311" s="185">
        <f t="shared" si="241"/>
        <v>315000</v>
      </c>
      <c r="AM311" s="185">
        <f t="shared" si="241"/>
        <v>220500</v>
      </c>
      <c r="AN311" s="8"/>
      <c r="AO311" s="9"/>
      <c r="AP311" s="9"/>
      <c r="AQ311" s="9"/>
      <c r="AR311" s="9"/>
      <c r="AS311" s="9"/>
      <c r="AT311" s="9"/>
      <c r="AU311" s="9"/>
      <c r="AV311" s="9"/>
      <c r="AW311" s="9"/>
      <c r="AX311" s="9"/>
    </row>
    <row r="312" spans="1:50" ht="15.75" customHeight="1" x14ac:dyDescent="0.2">
      <c r="A312" s="361"/>
      <c r="B312" s="353" t="s">
        <v>219</v>
      </c>
      <c r="C312" s="354"/>
      <c r="D312" s="355"/>
      <c r="E312" s="355"/>
      <c r="F312" s="356"/>
      <c r="G312" s="356"/>
      <c r="H312" s="355">
        <v>6588</v>
      </c>
      <c r="I312" s="355">
        <v>800</v>
      </c>
      <c r="J312" s="355">
        <v>1500</v>
      </c>
      <c r="K312" s="355">
        <v>2500</v>
      </c>
      <c r="L312" s="355">
        <v>2500</v>
      </c>
      <c r="M312" s="355">
        <v>2500</v>
      </c>
      <c r="N312" s="355">
        <v>5000</v>
      </c>
      <c r="O312" s="355">
        <v>3000</v>
      </c>
      <c r="P312" s="355">
        <v>2500</v>
      </c>
      <c r="Q312" s="355">
        <v>2500</v>
      </c>
      <c r="R312" s="355">
        <v>2500</v>
      </c>
      <c r="S312" s="355">
        <v>2500</v>
      </c>
      <c r="T312" s="355">
        <v>2500</v>
      </c>
      <c r="U312" s="355">
        <v>2500</v>
      </c>
      <c r="V312" s="355">
        <v>2500</v>
      </c>
      <c r="W312" s="355">
        <v>2500</v>
      </c>
      <c r="X312" s="355">
        <v>2500</v>
      </c>
      <c r="Y312" s="355">
        <v>2500</v>
      </c>
      <c r="Z312" s="355">
        <v>5000</v>
      </c>
      <c r="AA312" s="355">
        <v>2500</v>
      </c>
      <c r="AB312" s="355">
        <v>2500</v>
      </c>
      <c r="AC312" s="355">
        <v>2500</v>
      </c>
      <c r="AD312" s="355">
        <v>2500</v>
      </c>
      <c r="AE312" s="355">
        <v>2500</v>
      </c>
      <c r="AF312" s="355">
        <v>2500</v>
      </c>
      <c r="AG312" s="355">
        <v>2500</v>
      </c>
      <c r="AH312" s="355">
        <v>2500</v>
      </c>
      <c r="AI312" s="355">
        <v>2500</v>
      </c>
      <c r="AJ312" s="355">
        <v>2500</v>
      </c>
      <c r="AK312" s="355">
        <v>2500</v>
      </c>
      <c r="AL312" s="355">
        <v>5000</v>
      </c>
      <c r="AM312" s="355">
        <v>3500</v>
      </c>
      <c r="AN312" s="358"/>
      <c r="AO312" s="359"/>
      <c r="AP312" s="359"/>
      <c r="AQ312" s="359"/>
      <c r="AR312" s="359"/>
      <c r="AS312" s="359"/>
      <c r="AT312" s="359"/>
      <c r="AU312" s="359"/>
      <c r="AV312" s="359"/>
      <c r="AW312" s="359"/>
      <c r="AX312" s="360"/>
    </row>
    <row r="313" spans="1:50" ht="15.75" customHeight="1" x14ac:dyDescent="0.2">
      <c r="A313" s="120"/>
      <c r="B313" s="166" t="s">
        <v>220</v>
      </c>
      <c r="C313" s="127"/>
      <c r="D313" s="5"/>
      <c r="E313" s="5"/>
      <c r="F313" s="5"/>
      <c r="G313" s="5"/>
      <c r="H313" s="5">
        <f t="shared" ref="H313:AM313" si="242">$C309</f>
        <v>63</v>
      </c>
      <c r="I313" s="5">
        <f t="shared" si="242"/>
        <v>63</v>
      </c>
      <c r="J313" s="5">
        <f t="shared" si="242"/>
        <v>63</v>
      </c>
      <c r="K313" s="5">
        <f t="shared" si="242"/>
        <v>63</v>
      </c>
      <c r="L313" s="5">
        <f t="shared" si="242"/>
        <v>63</v>
      </c>
      <c r="M313" s="5">
        <f t="shared" si="242"/>
        <v>63</v>
      </c>
      <c r="N313" s="5">
        <f t="shared" si="242"/>
        <v>63</v>
      </c>
      <c r="O313" s="264">
        <f t="shared" si="242"/>
        <v>63</v>
      </c>
      <c r="P313" s="5">
        <f t="shared" si="242"/>
        <v>63</v>
      </c>
      <c r="Q313" s="5">
        <f t="shared" si="242"/>
        <v>63</v>
      </c>
      <c r="R313" s="5">
        <f t="shared" si="242"/>
        <v>63</v>
      </c>
      <c r="S313" s="5">
        <f t="shared" si="242"/>
        <v>63</v>
      </c>
      <c r="T313" s="5">
        <f t="shared" si="242"/>
        <v>63</v>
      </c>
      <c r="U313" s="5">
        <f t="shared" si="242"/>
        <v>63</v>
      </c>
      <c r="V313" s="5">
        <f t="shared" si="242"/>
        <v>63</v>
      </c>
      <c r="W313" s="5">
        <f t="shared" si="242"/>
        <v>63</v>
      </c>
      <c r="X313" s="5">
        <f t="shared" si="242"/>
        <v>63</v>
      </c>
      <c r="Y313" s="5">
        <f t="shared" si="242"/>
        <v>63</v>
      </c>
      <c r="Z313" s="5">
        <f t="shared" si="242"/>
        <v>63</v>
      </c>
      <c r="AA313" s="264">
        <f t="shared" si="242"/>
        <v>63</v>
      </c>
      <c r="AB313" s="5">
        <f t="shared" si="242"/>
        <v>63</v>
      </c>
      <c r="AC313" s="5">
        <f t="shared" si="242"/>
        <v>63</v>
      </c>
      <c r="AD313" s="5">
        <f t="shared" si="242"/>
        <v>63</v>
      </c>
      <c r="AE313" s="5">
        <f t="shared" si="242"/>
        <v>63</v>
      </c>
      <c r="AF313" s="5">
        <f t="shared" si="242"/>
        <v>63</v>
      </c>
      <c r="AG313" s="5">
        <f t="shared" si="242"/>
        <v>63</v>
      </c>
      <c r="AH313" s="5">
        <f t="shared" si="242"/>
        <v>63</v>
      </c>
      <c r="AI313" s="5">
        <f t="shared" si="242"/>
        <v>63</v>
      </c>
      <c r="AJ313" s="5">
        <f t="shared" si="242"/>
        <v>63</v>
      </c>
      <c r="AK313" s="5">
        <f t="shared" si="242"/>
        <v>63</v>
      </c>
      <c r="AL313" s="5">
        <f t="shared" si="242"/>
        <v>63</v>
      </c>
      <c r="AM313" s="5">
        <f t="shared" si="242"/>
        <v>63</v>
      </c>
      <c r="AN313" s="8"/>
      <c r="AO313" s="9"/>
      <c r="AP313" s="9"/>
      <c r="AQ313" s="9"/>
      <c r="AR313" s="9"/>
      <c r="AS313" s="9"/>
      <c r="AT313" s="9"/>
      <c r="AU313" s="9"/>
      <c r="AV313" s="9"/>
      <c r="AW313" s="9"/>
      <c r="AX313" s="9"/>
    </row>
    <row r="314" spans="1:50" ht="15.75" customHeight="1" x14ac:dyDescent="0.2">
      <c r="A314" s="120"/>
      <c r="B314" s="252" t="s">
        <v>221</v>
      </c>
      <c r="C314" s="125">
        <v>63</v>
      </c>
      <c r="D314" s="185">
        <f t="shared" ref="D314:G314" si="243">$C314*D315</f>
        <v>0</v>
      </c>
      <c r="E314" s="185">
        <f t="shared" si="243"/>
        <v>0</v>
      </c>
      <c r="F314" s="185">
        <f t="shared" si="243"/>
        <v>0</v>
      </c>
      <c r="G314" s="185">
        <f t="shared" si="243"/>
        <v>0</v>
      </c>
      <c r="H314" s="185">
        <f>H309+H311</f>
        <v>259959.7030566945</v>
      </c>
      <c r="I314" s="185">
        <f t="shared" ref="I314:AM314" si="244">$C314*I315</f>
        <v>155275.40611338898</v>
      </c>
      <c r="J314" s="185">
        <f t="shared" si="244"/>
        <v>94691.109170083466</v>
      </c>
      <c r="K314" s="185">
        <f t="shared" si="244"/>
        <v>97106.812226777954</v>
      </c>
      <c r="L314" s="185">
        <f t="shared" si="244"/>
        <v>99522.515283472458</v>
      </c>
      <c r="M314" s="185">
        <f t="shared" si="244"/>
        <v>101938.21834016696</v>
      </c>
      <c r="N314" s="185">
        <f t="shared" si="244"/>
        <v>251666.35476296378</v>
      </c>
      <c r="O314" s="339">
        <f t="shared" si="244"/>
        <v>84118.067548746156</v>
      </c>
      <c r="P314" s="185">
        <f t="shared" si="244"/>
        <v>64814.358346164612</v>
      </c>
      <c r="Q314" s="185">
        <f t="shared" si="244"/>
        <v>140776.59908752641</v>
      </c>
      <c r="R314" s="185">
        <f t="shared" si="244"/>
        <v>91369.312961880438</v>
      </c>
      <c r="S314" s="185">
        <f t="shared" si="244"/>
        <v>93785.016018574941</v>
      </c>
      <c r="T314" s="185">
        <f t="shared" si="244"/>
        <v>96200.71907526943</v>
      </c>
      <c r="U314" s="185">
        <f t="shared" si="244"/>
        <v>98616.422131963933</v>
      </c>
      <c r="V314" s="185">
        <f t="shared" si="244"/>
        <v>101032.12518865842</v>
      </c>
      <c r="W314" s="185">
        <f t="shared" si="244"/>
        <v>103447.82824535292</v>
      </c>
      <c r="X314" s="185">
        <f t="shared" si="244"/>
        <v>105863.53130204743</v>
      </c>
      <c r="Y314" s="185">
        <f t="shared" si="244"/>
        <v>108279.23435874192</v>
      </c>
      <c r="Z314" s="185">
        <f t="shared" si="244"/>
        <v>258007.37078153872</v>
      </c>
      <c r="AA314" s="339">
        <f t="shared" si="244"/>
        <v>58959.083567321126</v>
      </c>
      <c r="AB314" s="185">
        <f t="shared" si="244"/>
        <v>39655.374364739575</v>
      </c>
      <c r="AC314" s="185">
        <f t="shared" si="244"/>
        <v>115617.61510610137</v>
      </c>
      <c r="AD314" s="185">
        <f t="shared" si="244"/>
        <v>66210.328980455408</v>
      </c>
      <c r="AE314" s="185">
        <f t="shared" si="244"/>
        <v>68626.032037149896</v>
      </c>
      <c r="AF314" s="185">
        <f t="shared" si="244"/>
        <v>71041.7350938444</v>
      </c>
      <c r="AG314" s="185">
        <f t="shared" si="244"/>
        <v>73457.438150538888</v>
      </c>
      <c r="AH314" s="185">
        <f t="shared" si="244"/>
        <v>75873.141207233391</v>
      </c>
      <c r="AI314" s="185">
        <f t="shared" si="244"/>
        <v>78288.84426392788</v>
      </c>
      <c r="AJ314" s="185">
        <f t="shared" si="244"/>
        <v>80704.547320622383</v>
      </c>
      <c r="AK314" s="185">
        <f t="shared" si="244"/>
        <v>83120.250377316886</v>
      </c>
      <c r="AL314" s="185">
        <f t="shared" si="244"/>
        <v>232848.38680011369</v>
      </c>
      <c r="AM314" s="185">
        <f t="shared" si="244"/>
        <v>96800.099585896081</v>
      </c>
      <c r="AN314" s="8"/>
      <c r="AO314" s="9"/>
      <c r="AP314" s="9"/>
      <c r="AQ314" s="9"/>
      <c r="AR314" s="9"/>
      <c r="AS314" s="9"/>
      <c r="AT314" s="9"/>
      <c r="AU314" s="9"/>
      <c r="AV314" s="9"/>
      <c r="AW314" s="9"/>
      <c r="AX314" s="9"/>
    </row>
    <row r="315" spans="1:50" ht="15.75" customHeight="1" x14ac:dyDescent="0.2">
      <c r="A315" s="120"/>
      <c r="B315" s="255" t="s">
        <v>222</v>
      </c>
      <c r="C315" s="127"/>
      <c r="D315" s="5">
        <f t="shared" ref="D315:AM315" si="245">D310+D312</f>
        <v>0</v>
      </c>
      <c r="E315" s="5">
        <f t="shared" si="245"/>
        <v>0</v>
      </c>
      <c r="F315" s="5">
        <f t="shared" si="245"/>
        <v>0</v>
      </c>
      <c r="G315" s="5">
        <f t="shared" si="245"/>
        <v>0</v>
      </c>
      <c r="H315" s="5">
        <f t="shared" si="245"/>
        <v>4126.3444929634043</v>
      </c>
      <c r="I315" s="5">
        <f t="shared" si="245"/>
        <v>2464.688985926809</v>
      </c>
      <c r="J315" s="5">
        <f t="shared" si="245"/>
        <v>1503.0334788902137</v>
      </c>
      <c r="K315" s="5">
        <f t="shared" si="245"/>
        <v>1541.3779718536184</v>
      </c>
      <c r="L315" s="5">
        <f t="shared" si="245"/>
        <v>1579.7224648170231</v>
      </c>
      <c r="M315" s="5">
        <f t="shared" si="245"/>
        <v>1618.0669577804279</v>
      </c>
      <c r="N315" s="5">
        <f t="shared" si="245"/>
        <v>3994.7040438565678</v>
      </c>
      <c r="O315" s="264">
        <f t="shared" si="245"/>
        <v>1335.2074214086692</v>
      </c>
      <c r="P315" s="5">
        <f t="shared" si="245"/>
        <v>1028.7993388280097</v>
      </c>
      <c r="Q315" s="5">
        <f t="shared" si="245"/>
        <v>2234.5491918654984</v>
      </c>
      <c r="R315" s="5">
        <f t="shared" si="245"/>
        <v>1450.3065549504831</v>
      </c>
      <c r="S315" s="5">
        <f t="shared" si="245"/>
        <v>1488.6510479138879</v>
      </c>
      <c r="T315" s="5">
        <f t="shared" si="245"/>
        <v>1526.9955408772926</v>
      </c>
      <c r="U315" s="5">
        <f t="shared" si="245"/>
        <v>1565.3400338406973</v>
      </c>
      <c r="V315" s="5">
        <f t="shared" si="245"/>
        <v>1603.684526804102</v>
      </c>
      <c r="W315" s="5">
        <f t="shared" si="245"/>
        <v>1642.0290197675067</v>
      </c>
      <c r="X315" s="5">
        <f t="shared" si="245"/>
        <v>1680.3735127309114</v>
      </c>
      <c r="Y315" s="5">
        <f t="shared" si="245"/>
        <v>1718.7180056943162</v>
      </c>
      <c r="Z315" s="5">
        <f t="shared" si="245"/>
        <v>4095.3550917704561</v>
      </c>
      <c r="AA315" s="264">
        <f t="shared" si="245"/>
        <v>935.85846932255754</v>
      </c>
      <c r="AB315" s="5">
        <f t="shared" si="245"/>
        <v>629.450386741898</v>
      </c>
      <c r="AC315" s="5">
        <f t="shared" si="245"/>
        <v>1835.2002397793867</v>
      </c>
      <c r="AD315" s="5">
        <f t="shared" si="245"/>
        <v>1050.9576028643714</v>
      </c>
      <c r="AE315" s="5">
        <f t="shared" si="245"/>
        <v>1089.3020958277762</v>
      </c>
      <c r="AF315" s="5">
        <f t="shared" si="245"/>
        <v>1127.6465887911809</v>
      </c>
      <c r="AG315" s="5">
        <f t="shared" si="245"/>
        <v>1165.9910817545856</v>
      </c>
      <c r="AH315" s="5">
        <f t="shared" si="245"/>
        <v>1204.3355747179903</v>
      </c>
      <c r="AI315" s="5">
        <f t="shared" si="245"/>
        <v>1242.680067681395</v>
      </c>
      <c r="AJ315" s="5">
        <f t="shared" si="245"/>
        <v>1281.0245606447997</v>
      </c>
      <c r="AK315" s="5">
        <f t="shared" si="245"/>
        <v>1319.3690536082045</v>
      </c>
      <c r="AL315" s="5">
        <f t="shared" si="245"/>
        <v>3696.0061396843444</v>
      </c>
      <c r="AM315" s="5">
        <f t="shared" si="245"/>
        <v>1536.5095172364458</v>
      </c>
      <c r="AN315" s="8"/>
      <c r="AO315" s="9"/>
      <c r="AP315" s="9"/>
      <c r="AQ315" s="9"/>
      <c r="AR315" s="9"/>
      <c r="AS315" s="9"/>
      <c r="AT315" s="9"/>
      <c r="AU315" s="9"/>
      <c r="AV315" s="9"/>
      <c r="AW315" s="9"/>
      <c r="AX315" s="9"/>
    </row>
    <row r="316" spans="1:50" ht="15.75" customHeight="1" x14ac:dyDescent="0.2">
      <c r="A316" s="120"/>
      <c r="B316" s="166" t="s">
        <v>112</v>
      </c>
      <c r="C316" s="127"/>
      <c r="D316" s="5">
        <f t="shared" ref="D316:AM316" si="246">D305-D314</f>
        <v>0</v>
      </c>
      <c r="E316" s="5">
        <f t="shared" si="246"/>
        <v>0</v>
      </c>
      <c r="F316" s="5">
        <f t="shared" si="246"/>
        <v>0</v>
      </c>
      <c r="G316" s="5">
        <f t="shared" si="246"/>
        <v>0</v>
      </c>
      <c r="H316" s="5">
        <f t="shared" si="246"/>
        <v>-259959.7030566945</v>
      </c>
      <c r="I316" s="5">
        <f t="shared" si="246"/>
        <v>104684.29694330553</v>
      </c>
      <c r="J316" s="5">
        <f t="shared" si="246"/>
        <v>60584.296943305511</v>
      </c>
      <c r="K316" s="5">
        <f t="shared" si="246"/>
        <v>-2415.7030566944886</v>
      </c>
      <c r="L316" s="5">
        <f t="shared" si="246"/>
        <v>-2415.7030566945032</v>
      </c>
      <c r="M316" s="5">
        <f t="shared" si="246"/>
        <v>-2415.7030566945032</v>
      </c>
      <c r="N316" s="5">
        <f t="shared" si="246"/>
        <v>-149728.13642279682</v>
      </c>
      <c r="O316" s="264">
        <f t="shared" si="246"/>
        <v>167548.28721421762</v>
      </c>
      <c r="P316" s="5">
        <f t="shared" si="246"/>
        <v>19303.709202581544</v>
      </c>
      <c r="Q316" s="5">
        <f t="shared" si="246"/>
        <v>-75962.240741361806</v>
      </c>
      <c r="R316" s="5">
        <f t="shared" si="246"/>
        <v>49407.286125645973</v>
      </c>
      <c r="S316" s="5">
        <f t="shared" si="246"/>
        <v>-2415.7030566945032</v>
      </c>
      <c r="T316" s="5">
        <f t="shared" si="246"/>
        <v>-2415.7030566944886</v>
      </c>
      <c r="U316" s="5">
        <f t="shared" si="246"/>
        <v>-2415.7030566945032</v>
      </c>
      <c r="V316" s="5">
        <f t="shared" si="246"/>
        <v>-2415.7030566944886</v>
      </c>
      <c r="W316" s="5">
        <f t="shared" si="246"/>
        <v>-2415.7030566945032</v>
      </c>
      <c r="X316" s="5">
        <f t="shared" si="246"/>
        <v>-2415.7030566945032</v>
      </c>
      <c r="Y316" s="5">
        <f t="shared" si="246"/>
        <v>-2415.7030566944886</v>
      </c>
      <c r="Z316" s="5">
        <f t="shared" si="246"/>
        <v>-149728.13642279682</v>
      </c>
      <c r="AA316" s="264">
        <f t="shared" si="246"/>
        <v>199048.28721421759</v>
      </c>
      <c r="AB316" s="5">
        <f t="shared" si="246"/>
        <v>19303.709202581551</v>
      </c>
      <c r="AC316" s="5">
        <f t="shared" si="246"/>
        <v>-75962.240741361791</v>
      </c>
      <c r="AD316" s="5">
        <f t="shared" si="246"/>
        <v>49407.286125645958</v>
      </c>
      <c r="AE316" s="5">
        <f t="shared" si="246"/>
        <v>-2415.7030566944886</v>
      </c>
      <c r="AF316" s="5">
        <f t="shared" si="246"/>
        <v>-2415.7030566945032</v>
      </c>
      <c r="AG316" s="5">
        <f t="shared" si="246"/>
        <v>-2415.7030566944886</v>
      </c>
      <c r="AH316" s="5">
        <f t="shared" si="246"/>
        <v>-2415.7030566945032</v>
      </c>
      <c r="AI316" s="5">
        <f t="shared" si="246"/>
        <v>-2415.7030566944886</v>
      </c>
      <c r="AJ316" s="5">
        <f t="shared" si="246"/>
        <v>-2415.7030566945032</v>
      </c>
      <c r="AK316" s="5">
        <f t="shared" si="246"/>
        <v>-2415.7030566945032</v>
      </c>
      <c r="AL316" s="5">
        <f t="shared" si="246"/>
        <v>-149728.13642279682</v>
      </c>
      <c r="AM316" s="5">
        <f t="shared" si="246"/>
        <v>136048.28721421759</v>
      </c>
      <c r="AN316" s="8"/>
      <c r="AO316" s="9"/>
      <c r="AP316" s="9"/>
      <c r="AQ316" s="9"/>
      <c r="AR316" s="9"/>
      <c r="AS316" s="9"/>
      <c r="AT316" s="9"/>
      <c r="AU316" s="9"/>
      <c r="AV316" s="9"/>
      <c r="AW316" s="9"/>
      <c r="AX316" s="9"/>
    </row>
    <row r="317" spans="1:50" ht="15.75" customHeight="1" x14ac:dyDescent="0.2">
      <c r="A317" s="120"/>
      <c r="B317" s="166"/>
      <c r="C317" s="127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264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264"/>
      <c r="AB317" s="5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8"/>
      <c r="AO317" s="9"/>
      <c r="AP317" s="9"/>
      <c r="AQ317" s="9"/>
      <c r="AR317" s="9"/>
      <c r="AS317" s="9"/>
      <c r="AT317" s="9"/>
      <c r="AU317" s="9"/>
      <c r="AV317" s="9"/>
      <c r="AW317" s="9"/>
      <c r="AX317" s="9"/>
    </row>
    <row r="318" spans="1:50" ht="15.75" customHeight="1" collapsed="1" x14ac:dyDescent="0.2">
      <c r="A318" s="120"/>
      <c r="B318" s="166"/>
      <c r="C318" s="127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264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264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8"/>
      <c r="AO318" s="9"/>
      <c r="AP318" s="9"/>
      <c r="AQ318" s="9"/>
      <c r="AR318" s="9"/>
      <c r="AS318" s="9"/>
      <c r="AT318" s="9"/>
      <c r="AU318" s="9"/>
      <c r="AV318" s="9"/>
      <c r="AW318" s="9"/>
      <c r="AX318" s="9"/>
    </row>
    <row r="319" spans="1:50" ht="15.75" hidden="1" customHeight="1" outlineLevel="1" x14ac:dyDescent="0.2">
      <c r="A319" s="177"/>
      <c r="B319" s="489" t="s">
        <v>231</v>
      </c>
      <c r="C319" s="477"/>
      <c r="D319" s="179" t="s">
        <v>17</v>
      </c>
      <c r="E319" s="179" t="s">
        <v>18</v>
      </c>
      <c r="F319" s="179" t="s">
        <v>19</v>
      </c>
      <c r="G319" s="179" t="s">
        <v>20</v>
      </c>
      <c r="H319" s="179" t="s">
        <v>21</v>
      </c>
      <c r="I319" s="179" t="s">
        <v>22</v>
      </c>
      <c r="J319" s="179" t="s">
        <v>23</v>
      </c>
      <c r="K319" s="179" t="s">
        <v>24</v>
      </c>
      <c r="L319" s="179" t="s">
        <v>25</v>
      </c>
      <c r="M319" s="179" t="s">
        <v>14</v>
      </c>
      <c r="N319" s="179" t="s">
        <v>15</v>
      </c>
      <c r="O319" s="362" t="s">
        <v>16</v>
      </c>
      <c r="P319" s="179"/>
      <c r="Q319" s="179"/>
      <c r="R319" s="179"/>
      <c r="S319" s="179"/>
      <c r="T319" s="179"/>
      <c r="U319" s="179"/>
      <c r="V319" s="179"/>
      <c r="W319" s="179"/>
      <c r="X319" s="179"/>
      <c r="Y319" s="179"/>
      <c r="Z319" s="179"/>
      <c r="AA319" s="362"/>
      <c r="AB319" s="179"/>
      <c r="AC319" s="179"/>
      <c r="AD319" s="179"/>
      <c r="AE319" s="179"/>
      <c r="AF319" s="179"/>
      <c r="AG319" s="179"/>
      <c r="AH319" s="179"/>
      <c r="AI319" s="179"/>
      <c r="AJ319" s="179"/>
      <c r="AK319" s="179"/>
      <c r="AL319" s="179"/>
      <c r="AM319" s="179"/>
      <c r="AN319" s="262"/>
      <c r="AO319" s="9"/>
      <c r="AP319" s="9"/>
      <c r="AQ319" s="9"/>
      <c r="AR319" s="9"/>
      <c r="AS319" s="9"/>
      <c r="AT319" s="9"/>
      <c r="AU319" s="9"/>
      <c r="AV319" s="9"/>
      <c r="AW319" s="9"/>
      <c r="AX319" s="9"/>
    </row>
    <row r="320" spans="1:50" ht="15.75" hidden="1" customHeight="1" outlineLevel="1" x14ac:dyDescent="0.2">
      <c r="A320" s="18"/>
      <c r="B320" s="24" t="s">
        <v>114</v>
      </c>
      <c r="C320" s="249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264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264"/>
      <c r="AB320" s="5"/>
      <c r="AC320" s="5"/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8"/>
      <c r="AO320" s="9"/>
      <c r="AP320" s="9"/>
      <c r="AQ320" s="9"/>
      <c r="AR320" s="9"/>
      <c r="AS320" s="9"/>
      <c r="AT320" s="9"/>
      <c r="AU320" s="9"/>
      <c r="AV320" s="9"/>
      <c r="AW320" s="9"/>
      <c r="AX320" s="9"/>
    </row>
    <row r="321" spans="1:50" ht="15.75" hidden="1" customHeight="1" outlineLevel="1" x14ac:dyDescent="0.2">
      <c r="A321" s="34"/>
      <c r="B321" s="81" t="s">
        <v>115</v>
      </c>
      <c r="C321" s="81"/>
      <c r="D321" s="5">
        <f t="shared" ref="D321:O321" si="247">C322</f>
        <v>0</v>
      </c>
      <c r="E321" s="5">
        <f t="shared" si="247"/>
        <v>0</v>
      </c>
      <c r="F321" s="5">
        <f t="shared" si="247"/>
        <v>0</v>
      </c>
      <c r="G321" s="5">
        <f t="shared" si="247"/>
        <v>0</v>
      </c>
      <c r="H321" s="5">
        <f t="shared" si="247"/>
        <v>0</v>
      </c>
      <c r="I321" s="5">
        <f t="shared" si="247"/>
        <v>0</v>
      </c>
      <c r="J321" s="5">
        <f t="shared" si="247"/>
        <v>0</v>
      </c>
      <c r="K321" s="5">
        <f t="shared" si="247"/>
        <v>0</v>
      </c>
      <c r="L321" s="5">
        <f t="shared" si="247"/>
        <v>0</v>
      </c>
      <c r="M321" s="5">
        <f t="shared" si="247"/>
        <v>0</v>
      </c>
      <c r="N321" s="5">
        <f t="shared" si="247"/>
        <v>0</v>
      </c>
      <c r="O321" s="264">
        <f t="shared" si="247"/>
        <v>0</v>
      </c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264"/>
      <c r="AB321" s="5"/>
      <c r="AC321" s="5"/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8"/>
      <c r="AO321" s="9"/>
      <c r="AP321" s="9"/>
      <c r="AQ321" s="9"/>
      <c r="AR321" s="9"/>
      <c r="AS321" s="9"/>
      <c r="AT321" s="9"/>
      <c r="AU321" s="9"/>
      <c r="AV321" s="9"/>
      <c r="AW321" s="9"/>
      <c r="AX321" s="9"/>
    </row>
    <row r="322" spans="1:50" ht="15.75" hidden="1" customHeight="1" outlineLevel="1" x14ac:dyDescent="0.2">
      <c r="A322" s="18"/>
      <c r="B322" s="24" t="s">
        <v>116</v>
      </c>
      <c r="C322" s="249"/>
      <c r="D322" s="5">
        <f t="shared" ref="D322:O322" si="248">D10*$C$320/30</f>
        <v>0</v>
      </c>
      <c r="E322" s="5">
        <f t="shared" si="248"/>
        <v>0</v>
      </c>
      <c r="F322" s="5">
        <f t="shared" si="248"/>
        <v>0</v>
      </c>
      <c r="G322" s="5">
        <f t="shared" si="248"/>
        <v>0</v>
      </c>
      <c r="H322" s="5">
        <f t="shared" si="248"/>
        <v>0</v>
      </c>
      <c r="I322" s="5">
        <f t="shared" si="248"/>
        <v>0</v>
      </c>
      <c r="J322" s="5">
        <f t="shared" si="248"/>
        <v>0</v>
      </c>
      <c r="K322" s="5">
        <f t="shared" si="248"/>
        <v>0</v>
      </c>
      <c r="L322" s="5">
        <f t="shared" si="248"/>
        <v>0</v>
      </c>
      <c r="M322" s="5">
        <f t="shared" si="248"/>
        <v>0</v>
      </c>
      <c r="N322" s="5">
        <f t="shared" si="248"/>
        <v>0</v>
      </c>
      <c r="O322" s="264">
        <f t="shared" si="248"/>
        <v>0</v>
      </c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264"/>
      <c r="AB322" s="5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8"/>
      <c r="AO322" s="9"/>
      <c r="AP322" s="9"/>
      <c r="AQ322" s="9"/>
      <c r="AR322" s="9"/>
      <c r="AS322" s="9"/>
      <c r="AT322" s="9"/>
      <c r="AU322" s="9"/>
      <c r="AV322" s="9"/>
      <c r="AW322" s="9"/>
      <c r="AX322" s="9"/>
    </row>
    <row r="323" spans="1:50" ht="15.75" hidden="1" customHeight="1" outlineLevel="1" x14ac:dyDescent="0.2">
      <c r="A323" s="34"/>
      <c r="B323" s="485" t="s">
        <v>117</v>
      </c>
      <c r="C323" s="477"/>
      <c r="D323" s="5">
        <f t="shared" ref="D323:O323" si="249">D322-D321</f>
        <v>0</v>
      </c>
      <c r="E323" s="5">
        <f t="shared" si="249"/>
        <v>0</v>
      </c>
      <c r="F323" s="5">
        <f t="shared" si="249"/>
        <v>0</v>
      </c>
      <c r="G323" s="5">
        <f t="shared" si="249"/>
        <v>0</v>
      </c>
      <c r="H323" s="5">
        <f t="shared" si="249"/>
        <v>0</v>
      </c>
      <c r="I323" s="5">
        <f t="shared" si="249"/>
        <v>0</v>
      </c>
      <c r="J323" s="5">
        <f t="shared" si="249"/>
        <v>0</v>
      </c>
      <c r="K323" s="5">
        <f t="shared" si="249"/>
        <v>0</v>
      </c>
      <c r="L323" s="5">
        <f t="shared" si="249"/>
        <v>0</v>
      </c>
      <c r="M323" s="5">
        <f t="shared" si="249"/>
        <v>0</v>
      </c>
      <c r="N323" s="5">
        <f t="shared" si="249"/>
        <v>0</v>
      </c>
      <c r="O323" s="264">
        <f t="shared" si="249"/>
        <v>0</v>
      </c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264"/>
      <c r="AB323" s="5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8"/>
      <c r="AO323" s="9"/>
      <c r="AP323" s="9"/>
      <c r="AQ323" s="9"/>
      <c r="AR323" s="9"/>
      <c r="AS323" s="9"/>
      <c r="AT323" s="9"/>
      <c r="AU323" s="9"/>
      <c r="AV323" s="9"/>
      <c r="AW323" s="9"/>
      <c r="AX323" s="9"/>
    </row>
    <row r="324" spans="1:50" ht="15.75" hidden="1" customHeight="1" outlineLevel="1" x14ac:dyDescent="0.2">
      <c r="A324" s="120"/>
      <c r="B324" s="481"/>
      <c r="C324" s="477"/>
      <c r="D324" s="483"/>
      <c r="E324" s="477"/>
      <c r="F324" s="477"/>
      <c r="G324" s="477"/>
      <c r="H324" s="477"/>
      <c r="I324" s="477"/>
      <c r="J324" s="477"/>
      <c r="K324" s="477"/>
      <c r="L324" s="477"/>
      <c r="M324" s="477"/>
      <c r="N324" s="477"/>
      <c r="O324" s="477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264"/>
      <c r="AB324" s="5"/>
      <c r="AC324" s="5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8"/>
      <c r="AO324" s="9"/>
      <c r="AP324" s="9"/>
      <c r="AQ324" s="9"/>
      <c r="AR324" s="9"/>
      <c r="AS324" s="9"/>
      <c r="AT324" s="9"/>
      <c r="AU324" s="9"/>
      <c r="AV324" s="9"/>
      <c r="AW324" s="9"/>
      <c r="AX324" s="9"/>
    </row>
    <row r="325" spans="1:50" ht="15.75" hidden="1" customHeight="1" outlineLevel="1" x14ac:dyDescent="0.2">
      <c r="A325" s="177"/>
      <c r="B325" s="489" t="s">
        <v>113</v>
      </c>
      <c r="C325" s="477"/>
      <c r="D325" s="179" t="s">
        <v>17</v>
      </c>
      <c r="E325" s="179" t="s">
        <v>18</v>
      </c>
      <c r="F325" s="179" t="s">
        <v>19</v>
      </c>
      <c r="G325" s="179" t="s">
        <v>20</v>
      </c>
      <c r="H325" s="179" t="s">
        <v>21</v>
      </c>
      <c r="I325" s="179" t="s">
        <v>22</v>
      </c>
      <c r="J325" s="179" t="s">
        <v>23</v>
      </c>
      <c r="K325" s="179" t="s">
        <v>24</v>
      </c>
      <c r="L325" s="179" t="s">
        <v>25</v>
      </c>
      <c r="M325" s="179" t="s">
        <v>14</v>
      </c>
      <c r="N325" s="179" t="s">
        <v>15</v>
      </c>
      <c r="O325" s="362" t="s">
        <v>16</v>
      </c>
      <c r="P325" s="179"/>
      <c r="Q325" s="179"/>
      <c r="R325" s="179"/>
      <c r="S325" s="179"/>
      <c r="T325" s="179"/>
      <c r="U325" s="179"/>
      <c r="V325" s="179"/>
      <c r="W325" s="179"/>
      <c r="X325" s="179"/>
      <c r="Y325" s="179"/>
      <c r="Z325" s="179"/>
      <c r="AA325" s="362"/>
      <c r="AB325" s="179"/>
      <c r="AC325" s="179"/>
      <c r="AD325" s="179"/>
      <c r="AE325" s="179"/>
      <c r="AF325" s="179"/>
      <c r="AG325" s="179"/>
      <c r="AH325" s="179"/>
      <c r="AI325" s="179"/>
      <c r="AJ325" s="179"/>
      <c r="AK325" s="179"/>
      <c r="AL325" s="179"/>
      <c r="AM325" s="179"/>
      <c r="AN325" s="262"/>
      <c r="AO325" s="9"/>
      <c r="AP325" s="9"/>
      <c r="AQ325" s="9"/>
      <c r="AR325" s="9"/>
      <c r="AS325" s="9"/>
      <c r="AT325" s="9"/>
      <c r="AU325" s="9"/>
      <c r="AV325" s="9"/>
      <c r="AW325" s="9"/>
      <c r="AX325" s="9"/>
    </row>
    <row r="326" spans="1:50" ht="15.75" hidden="1" customHeight="1" outlineLevel="1" x14ac:dyDescent="0.2">
      <c r="A326" s="18"/>
      <c r="B326" s="24" t="s">
        <v>114</v>
      </c>
      <c r="C326" s="249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264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264"/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8"/>
      <c r="AO326" s="9"/>
      <c r="AP326" s="9"/>
      <c r="AQ326" s="9"/>
      <c r="AR326" s="9"/>
      <c r="AS326" s="9"/>
      <c r="AT326" s="9"/>
      <c r="AU326" s="9"/>
      <c r="AV326" s="9"/>
      <c r="AW326" s="9"/>
      <c r="AX326" s="9"/>
    </row>
    <row r="327" spans="1:50" ht="15.75" hidden="1" customHeight="1" outlineLevel="1" x14ac:dyDescent="0.2">
      <c r="A327" s="34"/>
      <c r="B327" s="81" t="s">
        <v>115</v>
      </c>
      <c r="C327" s="81"/>
      <c r="D327" s="5">
        <f t="shared" ref="D327:O327" si="250">C328</f>
        <v>0</v>
      </c>
      <c r="E327" s="5" t="e">
        <f t="shared" si="250"/>
        <v>#REF!</v>
      </c>
      <c r="F327" s="5" t="e">
        <f t="shared" si="250"/>
        <v>#REF!</v>
      </c>
      <c r="G327" s="5" t="e">
        <f t="shared" si="250"/>
        <v>#REF!</v>
      </c>
      <c r="H327" s="5" t="e">
        <f t="shared" si="250"/>
        <v>#REF!</v>
      </c>
      <c r="I327" s="5" t="e">
        <f t="shared" si="250"/>
        <v>#REF!</v>
      </c>
      <c r="J327" s="5" t="e">
        <f t="shared" si="250"/>
        <v>#REF!</v>
      </c>
      <c r="K327" s="5" t="e">
        <f t="shared" si="250"/>
        <v>#REF!</v>
      </c>
      <c r="L327" s="5" t="e">
        <f t="shared" si="250"/>
        <v>#REF!</v>
      </c>
      <c r="M327" s="5" t="e">
        <f t="shared" si="250"/>
        <v>#REF!</v>
      </c>
      <c r="N327" s="5" t="e">
        <f t="shared" si="250"/>
        <v>#REF!</v>
      </c>
      <c r="O327" s="264" t="e">
        <f t="shared" si="250"/>
        <v>#REF!</v>
      </c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264"/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8"/>
      <c r="AO327" s="9"/>
      <c r="AP327" s="9"/>
      <c r="AQ327" s="9"/>
      <c r="AR327" s="9"/>
      <c r="AS327" s="9"/>
      <c r="AT327" s="9"/>
      <c r="AU327" s="9"/>
      <c r="AV327" s="9"/>
      <c r="AW327" s="9"/>
      <c r="AX327" s="9"/>
    </row>
    <row r="328" spans="1:50" ht="15.75" hidden="1" customHeight="1" outlineLevel="1" x14ac:dyDescent="0.2">
      <c r="A328" s="18"/>
      <c r="B328" s="24" t="s">
        <v>116</v>
      </c>
      <c r="C328" s="249"/>
      <c r="D328" s="5" t="e">
        <f t="shared" ref="D328:O328" si="251">-#REF!*$C$326/30</f>
        <v>#REF!</v>
      </c>
      <c r="E328" s="5" t="e">
        <f t="shared" si="251"/>
        <v>#REF!</v>
      </c>
      <c r="F328" s="5" t="e">
        <f t="shared" si="251"/>
        <v>#REF!</v>
      </c>
      <c r="G328" s="5" t="e">
        <f t="shared" si="251"/>
        <v>#REF!</v>
      </c>
      <c r="H328" s="5" t="e">
        <f t="shared" si="251"/>
        <v>#REF!</v>
      </c>
      <c r="I328" s="5" t="e">
        <f t="shared" si="251"/>
        <v>#REF!</v>
      </c>
      <c r="J328" s="5" t="e">
        <f t="shared" si="251"/>
        <v>#REF!</v>
      </c>
      <c r="K328" s="5" t="e">
        <f t="shared" si="251"/>
        <v>#REF!</v>
      </c>
      <c r="L328" s="5" t="e">
        <f t="shared" si="251"/>
        <v>#REF!</v>
      </c>
      <c r="M328" s="5" t="e">
        <f t="shared" si="251"/>
        <v>#REF!</v>
      </c>
      <c r="N328" s="5" t="e">
        <f t="shared" si="251"/>
        <v>#REF!</v>
      </c>
      <c r="O328" s="264" t="e">
        <f t="shared" si="251"/>
        <v>#REF!</v>
      </c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264"/>
      <c r="AB328" s="5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8"/>
      <c r="AO328" s="9"/>
      <c r="AP328" s="9"/>
      <c r="AQ328" s="9"/>
      <c r="AR328" s="9"/>
      <c r="AS328" s="9"/>
      <c r="AT328" s="9"/>
      <c r="AU328" s="9"/>
      <c r="AV328" s="9"/>
      <c r="AW328" s="9"/>
      <c r="AX328" s="9"/>
    </row>
    <row r="329" spans="1:50" ht="15.75" hidden="1" customHeight="1" outlineLevel="1" x14ac:dyDescent="0.2">
      <c r="A329" s="34"/>
      <c r="B329" s="485" t="s">
        <v>117</v>
      </c>
      <c r="C329" s="477"/>
      <c r="D329" s="5" t="e">
        <f t="shared" ref="D329:O329" si="252">D328-D327</f>
        <v>#REF!</v>
      </c>
      <c r="E329" s="5" t="e">
        <f t="shared" si="252"/>
        <v>#REF!</v>
      </c>
      <c r="F329" s="5" t="e">
        <f t="shared" si="252"/>
        <v>#REF!</v>
      </c>
      <c r="G329" s="5" t="e">
        <f t="shared" si="252"/>
        <v>#REF!</v>
      </c>
      <c r="H329" s="5" t="e">
        <f t="shared" si="252"/>
        <v>#REF!</v>
      </c>
      <c r="I329" s="5" t="e">
        <f t="shared" si="252"/>
        <v>#REF!</v>
      </c>
      <c r="J329" s="5" t="e">
        <f t="shared" si="252"/>
        <v>#REF!</v>
      </c>
      <c r="K329" s="5" t="e">
        <f t="shared" si="252"/>
        <v>#REF!</v>
      </c>
      <c r="L329" s="5" t="e">
        <f t="shared" si="252"/>
        <v>#REF!</v>
      </c>
      <c r="M329" s="5" t="e">
        <f t="shared" si="252"/>
        <v>#REF!</v>
      </c>
      <c r="N329" s="5" t="e">
        <f t="shared" si="252"/>
        <v>#REF!</v>
      </c>
      <c r="O329" s="264" t="e">
        <f t="shared" si="252"/>
        <v>#REF!</v>
      </c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264"/>
      <c r="AB329" s="5"/>
      <c r="AC329" s="5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8"/>
      <c r="AO329" s="9"/>
      <c r="AP329" s="9"/>
      <c r="AQ329" s="9"/>
      <c r="AR329" s="9"/>
      <c r="AS329" s="9"/>
      <c r="AT329" s="9"/>
      <c r="AU329" s="9"/>
      <c r="AV329" s="9"/>
      <c r="AW329" s="9"/>
      <c r="AX329" s="9"/>
    </row>
    <row r="330" spans="1:50" ht="15.75" hidden="1" customHeight="1" outlineLevel="1" x14ac:dyDescent="0.2">
      <c r="A330" s="120"/>
      <c r="B330" s="481"/>
      <c r="C330" s="477"/>
      <c r="D330" s="483"/>
      <c r="E330" s="477"/>
      <c r="F330" s="477"/>
      <c r="G330" s="477"/>
      <c r="H330" s="477"/>
      <c r="I330" s="477"/>
      <c r="J330" s="477"/>
      <c r="K330" s="477"/>
      <c r="L330" s="477"/>
      <c r="M330" s="477"/>
      <c r="N330" s="477"/>
      <c r="O330" s="477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264"/>
      <c r="AB330" s="5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8"/>
      <c r="AO330" s="9"/>
      <c r="AP330" s="9"/>
      <c r="AQ330" s="9"/>
      <c r="AR330" s="9"/>
      <c r="AS330" s="9"/>
      <c r="AT330" s="9"/>
      <c r="AU330" s="9"/>
      <c r="AV330" s="9"/>
      <c r="AW330" s="9"/>
      <c r="AX330" s="9"/>
    </row>
    <row r="331" spans="1:50" ht="15.75" hidden="1" customHeight="1" outlineLevel="1" x14ac:dyDescent="0.2">
      <c r="A331" s="120"/>
      <c r="B331" s="489" t="s">
        <v>118</v>
      </c>
      <c r="C331" s="477"/>
      <c r="D331" s="169" t="s">
        <v>17</v>
      </c>
      <c r="E331" s="169" t="s">
        <v>18</v>
      </c>
      <c r="F331" s="169" t="s">
        <v>19</v>
      </c>
      <c r="G331" s="169" t="s">
        <v>20</v>
      </c>
      <c r="H331" s="169" t="s">
        <v>21</v>
      </c>
      <c r="I331" s="169" t="s">
        <v>22</v>
      </c>
      <c r="J331" s="169" t="s">
        <v>23</v>
      </c>
      <c r="K331" s="169" t="s">
        <v>24</v>
      </c>
      <c r="L331" s="169" t="s">
        <v>25</v>
      </c>
      <c r="M331" s="169" t="s">
        <v>14</v>
      </c>
      <c r="N331" s="169" t="s">
        <v>15</v>
      </c>
      <c r="O331" s="350" t="s">
        <v>16</v>
      </c>
      <c r="P331" s="169"/>
      <c r="Q331" s="169"/>
      <c r="R331" s="169"/>
      <c r="S331" s="169"/>
      <c r="T331" s="169"/>
      <c r="U331" s="169"/>
      <c r="V331" s="169"/>
      <c r="W331" s="169"/>
      <c r="X331" s="169"/>
      <c r="Y331" s="169"/>
      <c r="Z331" s="169"/>
      <c r="AA331" s="350"/>
      <c r="AB331" s="169"/>
      <c r="AC331" s="169"/>
      <c r="AD331" s="169"/>
      <c r="AE331" s="169"/>
      <c r="AF331" s="169"/>
      <c r="AG331" s="169"/>
      <c r="AH331" s="169"/>
      <c r="AI331" s="169"/>
      <c r="AJ331" s="169"/>
      <c r="AK331" s="169"/>
      <c r="AL331" s="169"/>
      <c r="AM331" s="169"/>
      <c r="AN331" s="8"/>
      <c r="AO331" s="9"/>
      <c r="AP331" s="9"/>
      <c r="AQ331" s="9"/>
      <c r="AR331" s="9"/>
      <c r="AS331" s="9"/>
      <c r="AT331" s="9"/>
      <c r="AU331" s="9"/>
      <c r="AV331" s="9"/>
      <c r="AW331" s="9"/>
      <c r="AX331" s="9"/>
    </row>
    <row r="332" spans="1:50" ht="15.75" hidden="1" customHeight="1" outlineLevel="1" x14ac:dyDescent="0.2">
      <c r="A332" s="120"/>
      <c r="B332" s="24" t="s">
        <v>119</v>
      </c>
      <c r="C332" s="249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264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264"/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8"/>
      <c r="AO332" s="9"/>
      <c r="AP332" s="9"/>
      <c r="AQ332" s="9"/>
      <c r="AR332" s="9"/>
      <c r="AS332" s="9"/>
      <c r="AT332" s="9"/>
      <c r="AU332" s="9"/>
      <c r="AV332" s="9"/>
      <c r="AW332" s="9"/>
      <c r="AX332" s="9"/>
    </row>
    <row r="333" spans="1:50" ht="15.75" hidden="1" customHeight="1" outlineLevel="1" x14ac:dyDescent="0.2">
      <c r="A333" s="120"/>
      <c r="B333" s="81" t="s">
        <v>120</v>
      </c>
      <c r="C333" s="81"/>
      <c r="D333" s="5">
        <f t="shared" ref="D333:O333" si="253">C334</f>
        <v>0</v>
      </c>
      <c r="E333" s="5" t="e">
        <f t="shared" si="253"/>
        <v>#REF!</v>
      </c>
      <c r="F333" s="5" t="e">
        <f t="shared" si="253"/>
        <v>#REF!</v>
      </c>
      <c r="G333" s="5" t="e">
        <f t="shared" si="253"/>
        <v>#REF!</v>
      </c>
      <c r="H333" s="5" t="e">
        <f t="shared" si="253"/>
        <v>#REF!</v>
      </c>
      <c r="I333" s="5" t="e">
        <f t="shared" si="253"/>
        <v>#REF!</v>
      </c>
      <c r="J333" s="5" t="e">
        <f t="shared" si="253"/>
        <v>#REF!</v>
      </c>
      <c r="K333" s="5" t="e">
        <f t="shared" si="253"/>
        <v>#REF!</v>
      </c>
      <c r="L333" s="5" t="e">
        <f t="shared" si="253"/>
        <v>#REF!</v>
      </c>
      <c r="M333" s="5" t="e">
        <f t="shared" si="253"/>
        <v>#REF!</v>
      </c>
      <c r="N333" s="5" t="e">
        <f t="shared" si="253"/>
        <v>#REF!</v>
      </c>
      <c r="O333" s="264" t="e">
        <f t="shared" si="253"/>
        <v>#REF!</v>
      </c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264"/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8"/>
      <c r="AO333" s="9"/>
      <c r="AP333" s="9"/>
      <c r="AQ333" s="9"/>
      <c r="AR333" s="9"/>
      <c r="AS333" s="9"/>
      <c r="AT333" s="9"/>
      <c r="AU333" s="9"/>
      <c r="AV333" s="9"/>
      <c r="AW333" s="9"/>
      <c r="AX333" s="9"/>
    </row>
    <row r="334" spans="1:50" ht="15.75" hidden="1" customHeight="1" outlineLevel="1" x14ac:dyDescent="0.2">
      <c r="A334" s="120"/>
      <c r="B334" s="24" t="s">
        <v>121</v>
      </c>
      <c r="C334" s="249"/>
      <c r="D334" s="5" t="e">
        <f t="shared" ref="D334:O334" si="254">-#REF!*$C$332/30</f>
        <v>#REF!</v>
      </c>
      <c r="E334" s="5" t="e">
        <f t="shared" si="254"/>
        <v>#REF!</v>
      </c>
      <c r="F334" s="5" t="e">
        <f t="shared" si="254"/>
        <v>#REF!</v>
      </c>
      <c r="G334" s="5" t="e">
        <f t="shared" si="254"/>
        <v>#REF!</v>
      </c>
      <c r="H334" s="5" t="e">
        <f t="shared" si="254"/>
        <v>#REF!</v>
      </c>
      <c r="I334" s="5" t="e">
        <f t="shared" si="254"/>
        <v>#REF!</v>
      </c>
      <c r="J334" s="5" t="e">
        <f t="shared" si="254"/>
        <v>#REF!</v>
      </c>
      <c r="K334" s="5" t="e">
        <f t="shared" si="254"/>
        <v>#REF!</v>
      </c>
      <c r="L334" s="5" t="e">
        <f t="shared" si="254"/>
        <v>#REF!</v>
      </c>
      <c r="M334" s="5" t="e">
        <f t="shared" si="254"/>
        <v>#REF!</v>
      </c>
      <c r="N334" s="5" t="e">
        <f t="shared" si="254"/>
        <v>#REF!</v>
      </c>
      <c r="O334" s="264" t="e">
        <f t="shared" si="254"/>
        <v>#REF!</v>
      </c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264"/>
      <c r="AB334" s="5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263"/>
      <c r="AO334" s="9"/>
      <c r="AP334" s="9"/>
      <c r="AQ334" s="9"/>
      <c r="AR334" s="9"/>
      <c r="AS334" s="9"/>
      <c r="AT334" s="9"/>
      <c r="AU334" s="9"/>
      <c r="AV334" s="9"/>
      <c r="AW334" s="9"/>
      <c r="AX334" s="9"/>
    </row>
    <row r="335" spans="1:50" ht="15.75" hidden="1" customHeight="1" outlineLevel="1" x14ac:dyDescent="0.2">
      <c r="A335" s="120"/>
      <c r="B335" s="485" t="s">
        <v>122</v>
      </c>
      <c r="C335" s="477"/>
      <c r="D335" s="5" t="e">
        <f t="shared" ref="D335:O335" si="255">D334-D333</f>
        <v>#REF!</v>
      </c>
      <c r="E335" s="5" t="e">
        <f t="shared" si="255"/>
        <v>#REF!</v>
      </c>
      <c r="F335" s="5" t="e">
        <f t="shared" si="255"/>
        <v>#REF!</v>
      </c>
      <c r="G335" s="5" t="e">
        <f t="shared" si="255"/>
        <v>#REF!</v>
      </c>
      <c r="H335" s="5" t="e">
        <f t="shared" si="255"/>
        <v>#REF!</v>
      </c>
      <c r="I335" s="5" t="e">
        <f t="shared" si="255"/>
        <v>#REF!</v>
      </c>
      <c r="J335" s="5" t="e">
        <f t="shared" si="255"/>
        <v>#REF!</v>
      </c>
      <c r="K335" s="5" t="e">
        <f t="shared" si="255"/>
        <v>#REF!</v>
      </c>
      <c r="L335" s="5" t="e">
        <f t="shared" si="255"/>
        <v>#REF!</v>
      </c>
      <c r="M335" s="5" t="e">
        <f t="shared" si="255"/>
        <v>#REF!</v>
      </c>
      <c r="N335" s="5" t="e">
        <f t="shared" si="255"/>
        <v>#REF!</v>
      </c>
      <c r="O335" s="264" t="e">
        <f t="shared" si="255"/>
        <v>#REF!</v>
      </c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264"/>
      <c r="AB335" s="5"/>
      <c r="AC335" s="5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263"/>
      <c r="AO335" s="9"/>
      <c r="AP335" s="9"/>
      <c r="AQ335" s="9"/>
      <c r="AR335" s="9"/>
      <c r="AS335" s="9"/>
      <c r="AT335" s="9"/>
      <c r="AU335" s="9"/>
      <c r="AV335" s="9"/>
      <c r="AW335" s="9"/>
      <c r="AX335" s="9"/>
    </row>
    <row r="336" spans="1:50" ht="15.75" customHeight="1" x14ac:dyDescent="0.2">
      <c r="A336" s="120"/>
      <c r="B336" s="127"/>
      <c r="C336" s="127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264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264"/>
      <c r="AB336" s="5"/>
      <c r="AC336" s="5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263"/>
      <c r="AO336" s="9"/>
      <c r="AP336" s="9"/>
      <c r="AQ336" s="9"/>
      <c r="AR336" s="9"/>
      <c r="AS336" s="9"/>
      <c r="AT336" s="9"/>
      <c r="AU336" s="9"/>
      <c r="AV336" s="9"/>
      <c r="AW336" s="9"/>
      <c r="AX336" s="9"/>
    </row>
    <row r="337" spans="1:50" ht="15.75" customHeight="1" x14ac:dyDescent="0.2">
      <c r="A337" s="18"/>
      <c r="B337" s="103" t="s">
        <v>123</v>
      </c>
      <c r="C337" s="103"/>
      <c r="D337" s="181" t="s">
        <v>17</v>
      </c>
      <c r="E337" s="181" t="s">
        <v>18</v>
      </c>
      <c r="F337" s="181" t="s">
        <v>19</v>
      </c>
      <c r="G337" s="181" t="s">
        <v>20</v>
      </c>
      <c r="H337" s="181" t="s">
        <v>21</v>
      </c>
      <c r="I337" s="181" t="s">
        <v>22</v>
      </c>
      <c r="J337" s="181" t="s">
        <v>23</v>
      </c>
      <c r="K337" s="181" t="s">
        <v>24</v>
      </c>
      <c r="L337" s="181" t="s">
        <v>25</v>
      </c>
      <c r="M337" s="181" t="s">
        <v>14</v>
      </c>
      <c r="N337" s="181" t="s">
        <v>15</v>
      </c>
      <c r="O337" s="363" t="s">
        <v>16</v>
      </c>
      <c r="P337" s="181" t="s">
        <v>17</v>
      </c>
      <c r="Q337" s="181" t="s">
        <v>18</v>
      </c>
      <c r="R337" s="181" t="s">
        <v>19</v>
      </c>
      <c r="S337" s="181" t="s">
        <v>20</v>
      </c>
      <c r="T337" s="181" t="s">
        <v>21</v>
      </c>
      <c r="U337" s="181" t="s">
        <v>22</v>
      </c>
      <c r="V337" s="181" t="s">
        <v>23</v>
      </c>
      <c r="W337" s="181" t="s">
        <v>24</v>
      </c>
      <c r="X337" s="181" t="s">
        <v>25</v>
      </c>
      <c r="Y337" s="181" t="s">
        <v>14</v>
      </c>
      <c r="Z337" s="181" t="s">
        <v>15</v>
      </c>
      <c r="AA337" s="363" t="s">
        <v>16</v>
      </c>
      <c r="AB337" s="181" t="s">
        <v>17</v>
      </c>
      <c r="AC337" s="181" t="s">
        <v>18</v>
      </c>
      <c r="AD337" s="181" t="s">
        <v>19</v>
      </c>
      <c r="AE337" s="181" t="s">
        <v>20</v>
      </c>
      <c r="AF337" s="181" t="s">
        <v>21</v>
      </c>
      <c r="AG337" s="181" t="s">
        <v>22</v>
      </c>
      <c r="AH337" s="181" t="s">
        <v>23</v>
      </c>
      <c r="AI337" s="181" t="s">
        <v>24</v>
      </c>
      <c r="AJ337" s="181" t="s">
        <v>25</v>
      </c>
      <c r="AK337" s="181" t="s">
        <v>14</v>
      </c>
      <c r="AL337" s="181" t="s">
        <v>15</v>
      </c>
      <c r="AM337" s="181" t="s">
        <v>16</v>
      </c>
      <c r="AN337" s="364"/>
      <c r="AO337" s="9"/>
      <c r="AP337" s="9"/>
      <c r="AQ337" s="9"/>
      <c r="AR337" s="9"/>
      <c r="AS337" s="9"/>
      <c r="AT337" s="9"/>
      <c r="AU337" s="9"/>
      <c r="AV337" s="9"/>
      <c r="AW337" s="9"/>
      <c r="AX337" s="9"/>
    </row>
    <row r="338" spans="1:50" ht="15.75" customHeight="1" outlineLevel="1" x14ac:dyDescent="0.2">
      <c r="A338" s="25"/>
      <c r="B338" s="134"/>
      <c r="C338" s="134"/>
      <c r="D338" s="72"/>
      <c r="E338" s="72"/>
      <c r="F338" s="72"/>
      <c r="G338" s="72"/>
      <c r="H338" s="72"/>
      <c r="I338" s="72"/>
      <c r="J338" s="72"/>
      <c r="K338" s="72"/>
      <c r="L338" s="72"/>
      <c r="M338" s="72"/>
      <c r="N338" s="72"/>
      <c r="O338" s="291"/>
      <c r="P338" s="72"/>
      <c r="Q338" s="72"/>
      <c r="R338" s="72"/>
      <c r="S338" s="72"/>
      <c r="T338" s="72"/>
      <c r="U338" s="72"/>
      <c r="V338" s="72"/>
      <c r="W338" s="72"/>
      <c r="X338" s="72"/>
      <c r="Y338" s="72"/>
      <c r="Z338" s="72"/>
      <c r="AA338" s="291"/>
      <c r="AB338" s="72"/>
      <c r="AC338" s="72"/>
      <c r="AD338" s="72"/>
      <c r="AE338" s="72"/>
      <c r="AF338" s="72"/>
      <c r="AG338" s="72"/>
      <c r="AH338" s="72"/>
      <c r="AI338" s="72"/>
      <c r="AJ338" s="72"/>
      <c r="AK338" s="72"/>
      <c r="AL338" s="72"/>
      <c r="AM338" s="72"/>
      <c r="AN338" s="364"/>
      <c r="AO338" s="9"/>
      <c r="AP338" s="9"/>
      <c r="AQ338" s="9"/>
      <c r="AR338" s="9"/>
      <c r="AS338" s="9"/>
      <c r="AT338" s="9"/>
      <c r="AU338" s="9"/>
      <c r="AV338" s="9"/>
      <c r="AW338" s="9"/>
      <c r="AX338" s="9"/>
    </row>
    <row r="339" spans="1:50" ht="15.75" customHeight="1" outlineLevel="1" x14ac:dyDescent="0.2">
      <c r="A339" s="177"/>
      <c r="B339" s="499" t="s">
        <v>124</v>
      </c>
      <c r="C339" s="477"/>
      <c r="D339" s="183">
        <v>743250</v>
      </c>
      <c r="E339" s="185">
        <f t="shared" ref="E339:AM339" si="256">D367</f>
        <v>95167.741999999969</v>
      </c>
      <c r="F339" s="185">
        <f t="shared" si="256"/>
        <v>35862.220050000149</v>
      </c>
      <c r="G339" s="185">
        <f t="shared" si="256"/>
        <v>610605.55283322942</v>
      </c>
      <c r="H339" s="185">
        <f t="shared" si="256"/>
        <v>1385297.4656030724</v>
      </c>
      <c r="I339" s="185">
        <f t="shared" si="256"/>
        <v>590444.05699667661</v>
      </c>
      <c r="J339" s="185">
        <f t="shared" si="256"/>
        <v>775165.49969345715</v>
      </c>
      <c r="K339" s="185">
        <f t="shared" si="256"/>
        <v>708386.94239023759</v>
      </c>
      <c r="L339" s="185">
        <f t="shared" si="256"/>
        <v>556608.3850870179</v>
      </c>
      <c r="M339" s="185">
        <f t="shared" si="256"/>
        <v>404829.82778379822</v>
      </c>
      <c r="N339" s="185">
        <f t="shared" si="256"/>
        <v>242051.27048057865</v>
      </c>
      <c r="O339" s="339">
        <f t="shared" si="256"/>
        <v>-347230.16403504857</v>
      </c>
      <c r="P339" s="185">
        <f t="shared" si="256"/>
        <v>139322.60645841772</v>
      </c>
      <c r="Q339" s="185">
        <f t="shared" si="256"/>
        <v>456596.59610064921</v>
      </c>
      <c r="R339" s="185">
        <f t="shared" si="256"/>
        <v>86488.445863945526</v>
      </c>
      <c r="S339" s="185">
        <f t="shared" si="256"/>
        <v>277525.93536403053</v>
      </c>
      <c r="T339" s="185">
        <f t="shared" si="256"/>
        <v>200680.71139414422</v>
      </c>
      <c r="U339" s="185">
        <f t="shared" si="256"/>
        <v>123836.17742425791</v>
      </c>
      <c r="V339" s="185">
        <f t="shared" si="256"/>
        <v>46990.953454371542</v>
      </c>
      <c r="W339" s="185">
        <f t="shared" si="256"/>
        <v>-40778.270515514771</v>
      </c>
      <c r="X339" s="185">
        <f t="shared" si="256"/>
        <v>-117713.49448540108</v>
      </c>
      <c r="Y339" s="185">
        <f t="shared" si="256"/>
        <v>-194648.71845528734</v>
      </c>
      <c r="Z339" s="185">
        <f t="shared" si="256"/>
        <v>-265680.53242517367</v>
      </c>
      <c r="AA339" s="339">
        <f t="shared" si="256"/>
        <v>-577325.36360746739</v>
      </c>
      <c r="AB339" s="185">
        <f t="shared" si="256"/>
        <v>630361.01021933276</v>
      </c>
      <c r="AC339" s="185">
        <f t="shared" si="256"/>
        <v>1101336.1898615642</v>
      </c>
      <c r="AD339" s="185">
        <f t="shared" si="256"/>
        <v>781528.30962486053</v>
      </c>
      <c r="AE339" s="185">
        <f t="shared" si="256"/>
        <v>1142266.0691249454</v>
      </c>
      <c r="AF339" s="185">
        <f t="shared" si="256"/>
        <v>1181721.1151550591</v>
      </c>
      <c r="AG339" s="185">
        <f t="shared" si="256"/>
        <v>1208576.1611851731</v>
      </c>
      <c r="AH339" s="185">
        <f t="shared" si="256"/>
        <v>1235431.2072152868</v>
      </c>
      <c r="AI339" s="185">
        <f t="shared" si="256"/>
        <v>1293786.2532454005</v>
      </c>
      <c r="AJ339" s="185">
        <f t="shared" si="256"/>
        <v>1320641.2992755142</v>
      </c>
      <c r="AK339" s="185">
        <f t="shared" si="256"/>
        <v>1347496.3453056279</v>
      </c>
      <c r="AL339" s="185">
        <f t="shared" si="256"/>
        <v>1374351.3913357414</v>
      </c>
      <c r="AM339" s="185">
        <f t="shared" si="256"/>
        <v>1014512.5601534476</v>
      </c>
      <c r="AN339" s="365"/>
      <c r="AO339" s="9"/>
      <c r="AP339" s="9"/>
      <c r="AQ339" s="9"/>
      <c r="AR339" s="9"/>
      <c r="AS339" s="9"/>
      <c r="AT339" s="9"/>
      <c r="AU339" s="9"/>
      <c r="AV339" s="9"/>
      <c r="AW339" s="9"/>
      <c r="AX339" s="9"/>
    </row>
    <row r="340" spans="1:50" ht="15.75" customHeight="1" outlineLevel="1" x14ac:dyDescent="0.2">
      <c r="A340" s="34"/>
      <c r="B340" s="499" t="s">
        <v>160</v>
      </c>
      <c r="C340" s="477"/>
      <c r="D340" s="5">
        <f t="shared" ref="D340:AM340" si="257">SUM(D341:D355)</f>
        <v>820455.70200000005</v>
      </c>
      <c r="E340" s="5">
        <f t="shared" si="257"/>
        <v>80775.076800000155</v>
      </c>
      <c r="F340" s="5">
        <f t="shared" si="257"/>
        <v>717036.15780000016</v>
      </c>
      <c r="G340" s="5">
        <f t="shared" si="257"/>
        <v>-336676.74261839356</v>
      </c>
      <c r="H340" s="5">
        <f t="shared" si="257"/>
        <v>-49870.612341176136</v>
      </c>
      <c r="I340" s="5">
        <f t="shared" si="257"/>
        <v>518474.78334543796</v>
      </c>
      <c r="J340" s="5">
        <f t="shared" si="257"/>
        <v>372835.91142961557</v>
      </c>
      <c r="K340" s="5">
        <f t="shared" si="257"/>
        <v>368353.25619221851</v>
      </c>
      <c r="L340" s="5">
        <f t="shared" si="257"/>
        <v>372994.00228471914</v>
      </c>
      <c r="M340" s="5">
        <f t="shared" si="257"/>
        <v>367101.15308920969</v>
      </c>
      <c r="N340" s="5">
        <f t="shared" si="257"/>
        <v>-30062.253579323879</v>
      </c>
      <c r="O340" s="264">
        <f t="shared" si="257"/>
        <v>1428441.816368232</v>
      </c>
      <c r="P340" s="5">
        <f t="shared" si="257"/>
        <v>482169.27403595019</v>
      </c>
      <c r="Q340" s="5">
        <f t="shared" si="257"/>
        <v>97769.987156576011</v>
      </c>
      <c r="R340" s="5">
        <f t="shared" si="257"/>
        <v>661959.14866522583</v>
      </c>
      <c r="S340" s="5">
        <f t="shared" si="257"/>
        <v>397180.93794608535</v>
      </c>
      <c r="T340" s="5">
        <f t="shared" si="257"/>
        <v>400347.66627176676</v>
      </c>
      <c r="U340" s="5">
        <f t="shared" si="257"/>
        <v>403577.92748944182</v>
      </c>
      <c r="V340" s="5">
        <f t="shared" si="257"/>
        <v>394273.02197862859</v>
      </c>
      <c r="W340" s="5">
        <f t="shared" si="257"/>
        <v>397684.28353164589</v>
      </c>
      <c r="X340" s="5">
        <f t="shared" si="257"/>
        <v>401113.09971361083</v>
      </c>
      <c r="Y340" s="5">
        <f t="shared" si="257"/>
        <v>404610.86223227216</v>
      </c>
      <c r="Z340" s="5">
        <f t="shared" si="257"/>
        <v>21376.480105546536</v>
      </c>
      <c r="AA340" s="264">
        <f t="shared" si="257"/>
        <v>1539680.941874031</v>
      </c>
      <c r="AB340" s="5">
        <f t="shared" si="257"/>
        <v>503715.20238506794</v>
      </c>
      <c r="AC340" s="5">
        <f t="shared" si="257"/>
        <v>63695.413052722579</v>
      </c>
      <c r="AD340" s="5">
        <f t="shared" si="257"/>
        <v>745022.57628807565</v>
      </c>
      <c r="AE340" s="5">
        <f t="shared" si="257"/>
        <v>424540.08737608313</v>
      </c>
      <c r="AF340" s="5">
        <f t="shared" si="257"/>
        <v>412759.47239145695</v>
      </c>
      <c r="AG340" s="5">
        <f t="shared" si="257"/>
        <v>413598.48884434125</v>
      </c>
      <c r="AH340" s="5">
        <f t="shared" si="257"/>
        <v>445957.61959628249</v>
      </c>
      <c r="AI340" s="5">
        <f t="shared" si="257"/>
        <v>415337.35969746416</v>
      </c>
      <c r="AJ340" s="5">
        <f t="shared" si="257"/>
        <v>416238.21670203819</v>
      </c>
      <c r="AK340" s="5">
        <f t="shared" si="257"/>
        <v>417160.71099179739</v>
      </c>
      <c r="AL340" s="5">
        <f t="shared" si="257"/>
        <v>31411.49889601022</v>
      </c>
      <c r="AM340" s="5">
        <f t="shared" si="257"/>
        <v>1423904.0868911846</v>
      </c>
      <c r="AN340" s="263"/>
      <c r="AO340" s="9"/>
      <c r="AP340" s="9"/>
      <c r="AQ340" s="9"/>
      <c r="AR340" s="9"/>
      <c r="AS340" s="9"/>
      <c r="AT340" s="9"/>
      <c r="AU340" s="9"/>
      <c r="AV340" s="9"/>
      <c r="AW340" s="9"/>
      <c r="AX340" s="9"/>
    </row>
    <row r="341" spans="1:50" ht="15.75" customHeight="1" outlineLevel="1" x14ac:dyDescent="0.2">
      <c r="A341" s="34"/>
      <c r="B341" s="46" t="s">
        <v>295</v>
      </c>
      <c r="C341" s="81"/>
      <c r="D341" s="5">
        <f t="shared" ref="D341:AM341" si="258">D15</f>
        <v>2308490</v>
      </c>
      <c r="E341" s="5">
        <f t="shared" si="258"/>
        <v>1549016</v>
      </c>
      <c r="F341" s="5">
        <f t="shared" si="258"/>
        <v>3394111</v>
      </c>
      <c r="G341" s="5">
        <f t="shared" si="258"/>
        <v>2399021</v>
      </c>
      <c r="H341" s="5">
        <f t="shared" si="258"/>
        <v>3605232.1984479316</v>
      </c>
      <c r="I341" s="5">
        <f t="shared" si="258"/>
        <v>3605232.1984479316</v>
      </c>
      <c r="J341" s="5">
        <f t="shared" si="258"/>
        <v>3605232.1984479316</v>
      </c>
      <c r="K341" s="5">
        <f t="shared" si="258"/>
        <v>3605232.1984479316</v>
      </c>
      <c r="L341" s="5">
        <f t="shared" si="258"/>
        <v>3605232.1984479316</v>
      </c>
      <c r="M341" s="5">
        <f t="shared" si="258"/>
        <v>3605232.1984479316</v>
      </c>
      <c r="N341" s="5">
        <f t="shared" si="258"/>
        <v>3802469.8278226918</v>
      </c>
      <c r="O341" s="264">
        <f t="shared" si="258"/>
        <v>7195783.3449994698</v>
      </c>
      <c r="P341" s="5">
        <f t="shared" si="258"/>
        <v>3958022.9604645232</v>
      </c>
      <c r="Q341" s="5">
        <f t="shared" si="258"/>
        <v>2379331.5720116305</v>
      </c>
      <c r="R341" s="5">
        <f t="shared" si="258"/>
        <v>4824324.8920883574</v>
      </c>
      <c r="S341" s="5">
        <f t="shared" si="258"/>
        <v>3605232.1984479316</v>
      </c>
      <c r="T341" s="5">
        <f t="shared" si="258"/>
        <v>3605232.1984479316</v>
      </c>
      <c r="U341" s="5">
        <f t="shared" si="258"/>
        <v>3605232.1984479316</v>
      </c>
      <c r="V341" s="5">
        <f t="shared" si="258"/>
        <v>3605232.1984479316</v>
      </c>
      <c r="W341" s="5">
        <f t="shared" si="258"/>
        <v>3605232.1984479316</v>
      </c>
      <c r="X341" s="5">
        <f t="shared" si="258"/>
        <v>3605232.1984479316</v>
      </c>
      <c r="Y341" s="5">
        <f t="shared" si="258"/>
        <v>3605232.1984479316</v>
      </c>
      <c r="Z341" s="5">
        <f t="shared" si="258"/>
        <v>3802469.8278226918</v>
      </c>
      <c r="AA341" s="264">
        <f t="shared" si="258"/>
        <v>7195783.3449994698</v>
      </c>
      <c r="AB341" s="5">
        <f t="shared" si="258"/>
        <v>3958022.9604645232</v>
      </c>
      <c r="AC341" s="5">
        <f t="shared" si="258"/>
        <v>2379331.5720116305</v>
      </c>
      <c r="AD341" s="5">
        <f t="shared" si="258"/>
        <v>4824324.8920883574</v>
      </c>
      <c r="AE341" s="5">
        <f t="shared" si="258"/>
        <v>3605232.1984479316</v>
      </c>
      <c r="AF341" s="5">
        <f t="shared" si="258"/>
        <v>3605232.1984479316</v>
      </c>
      <c r="AG341" s="5">
        <f t="shared" si="258"/>
        <v>3605232.1984479316</v>
      </c>
      <c r="AH341" s="5">
        <f t="shared" si="258"/>
        <v>3605232.1984479316</v>
      </c>
      <c r="AI341" s="5">
        <f t="shared" si="258"/>
        <v>3605232.1984479316</v>
      </c>
      <c r="AJ341" s="5">
        <f t="shared" si="258"/>
        <v>3605232.1984479316</v>
      </c>
      <c r="AK341" s="5">
        <f t="shared" si="258"/>
        <v>3605232.1984479316</v>
      </c>
      <c r="AL341" s="5">
        <f t="shared" si="258"/>
        <v>3802469.8278226918</v>
      </c>
      <c r="AM341" s="5">
        <f t="shared" si="258"/>
        <v>7195783.3449994698</v>
      </c>
      <c r="AN341" s="263"/>
      <c r="AO341" s="9"/>
      <c r="AP341" s="9"/>
      <c r="AQ341" s="9"/>
      <c r="AR341" s="9"/>
      <c r="AS341" s="9"/>
      <c r="AT341" s="9"/>
      <c r="AU341" s="9"/>
      <c r="AV341" s="9"/>
      <c r="AW341" s="9"/>
      <c r="AX341" s="9"/>
    </row>
    <row r="342" spans="1:50" ht="15.75" customHeight="1" outlineLevel="1" x14ac:dyDescent="0.2">
      <c r="A342" s="34"/>
      <c r="B342" s="46" t="s">
        <v>48</v>
      </c>
      <c r="C342" s="81"/>
      <c r="D342" s="5">
        <f>D66-D69-D76-D83+58000+40513</f>
        <v>-770428.92799999984</v>
      </c>
      <c r="E342" s="5">
        <f>E66-E69-E76-E83+10000-138</f>
        <v>-590939.71519999986</v>
      </c>
      <c r="F342" s="5">
        <f t="shared" ref="F342:AM342" si="259">F66-F69-F76-F83</f>
        <v>-1326127.3991999999</v>
      </c>
      <c r="G342" s="5">
        <f t="shared" si="259"/>
        <v>-922549.55119999987</v>
      </c>
      <c r="H342" s="5">
        <f t="shared" si="259"/>
        <v>-1531385.8844443471</v>
      </c>
      <c r="I342" s="5">
        <f t="shared" si="259"/>
        <v>-1531385.8844443471</v>
      </c>
      <c r="J342" s="5">
        <f t="shared" si="259"/>
        <v>-1531385.8844443471</v>
      </c>
      <c r="K342" s="5">
        <f t="shared" si="259"/>
        <v>-1531385.8844443471</v>
      </c>
      <c r="L342" s="5">
        <f t="shared" si="259"/>
        <v>-1531385.8844443471</v>
      </c>
      <c r="M342" s="5">
        <f t="shared" si="259"/>
        <v>-1531385.8844443471</v>
      </c>
      <c r="N342" s="5">
        <f t="shared" si="259"/>
        <v>-1612850.4611749605</v>
      </c>
      <c r="O342" s="264">
        <f t="shared" si="259"/>
        <v>-3059977.7166367937</v>
      </c>
      <c r="P342" s="5">
        <f t="shared" si="259"/>
        <v>-1682790.6558485092</v>
      </c>
      <c r="Q342" s="5">
        <f t="shared" si="259"/>
        <v>-1006790.373147944</v>
      </c>
      <c r="R342" s="5">
        <f t="shared" si="259"/>
        <v>-2049459.0941029168</v>
      </c>
      <c r="S342" s="5">
        <f t="shared" si="259"/>
        <v>-1531385.8844443471</v>
      </c>
      <c r="T342" s="5">
        <f t="shared" si="259"/>
        <v>-1531385.8844443471</v>
      </c>
      <c r="U342" s="5">
        <f t="shared" si="259"/>
        <v>-1531385.8844443471</v>
      </c>
      <c r="V342" s="5">
        <f t="shared" si="259"/>
        <v>-1531385.8844443471</v>
      </c>
      <c r="W342" s="5">
        <f t="shared" si="259"/>
        <v>-1531385.8844443471</v>
      </c>
      <c r="X342" s="5">
        <f t="shared" si="259"/>
        <v>-1531385.8844443471</v>
      </c>
      <c r="Y342" s="5">
        <f t="shared" si="259"/>
        <v>-1531385.8844443471</v>
      </c>
      <c r="Z342" s="5">
        <f t="shared" si="259"/>
        <v>-1612850.4611749605</v>
      </c>
      <c r="AA342" s="264">
        <f t="shared" si="259"/>
        <v>-3059977.7166367937</v>
      </c>
      <c r="AB342" s="5">
        <f t="shared" si="259"/>
        <v>-1682790.6558485092</v>
      </c>
      <c r="AC342" s="5">
        <f t="shared" si="259"/>
        <v>-1006790.373147944</v>
      </c>
      <c r="AD342" s="5">
        <f t="shared" si="259"/>
        <v>-2049459.0941029168</v>
      </c>
      <c r="AE342" s="5">
        <f t="shared" si="259"/>
        <v>-1531385.8844443471</v>
      </c>
      <c r="AF342" s="5">
        <f t="shared" si="259"/>
        <v>-1531385.8844443471</v>
      </c>
      <c r="AG342" s="5">
        <f t="shared" si="259"/>
        <v>-1531385.8844443471</v>
      </c>
      <c r="AH342" s="5">
        <f t="shared" si="259"/>
        <v>-1531385.8844443471</v>
      </c>
      <c r="AI342" s="5">
        <f t="shared" si="259"/>
        <v>-1531385.8844443471</v>
      </c>
      <c r="AJ342" s="5">
        <f t="shared" si="259"/>
        <v>-1531385.8844443471</v>
      </c>
      <c r="AK342" s="5">
        <f t="shared" si="259"/>
        <v>-1531385.8844443471</v>
      </c>
      <c r="AL342" s="5">
        <f t="shared" si="259"/>
        <v>-1612850.4611749605</v>
      </c>
      <c r="AM342" s="5">
        <f t="shared" si="259"/>
        <v>-3059977.7166367937</v>
      </c>
      <c r="AN342" s="263"/>
      <c r="AO342" s="9"/>
      <c r="AP342" s="9"/>
      <c r="AQ342" s="9"/>
      <c r="AR342" s="9"/>
      <c r="AS342" s="9"/>
      <c r="AT342" s="9"/>
      <c r="AU342" s="9"/>
      <c r="AV342" s="9"/>
      <c r="AW342" s="9"/>
      <c r="AX342" s="9"/>
    </row>
    <row r="343" spans="1:50" ht="15.75" customHeight="1" outlineLevel="1" x14ac:dyDescent="0.2">
      <c r="A343" s="34"/>
      <c r="B343" s="46" t="s">
        <v>296</v>
      </c>
      <c r="C343" s="81"/>
      <c r="D343" s="5">
        <f t="shared" ref="D343:AM343" si="260">D104</f>
        <v>-249575</v>
      </c>
      <c r="E343" s="5">
        <f t="shared" si="260"/>
        <v>-249575</v>
      </c>
      <c r="F343" s="5">
        <f t="shared" si="260"/>
        <v>-249575</v>
      </c>
      <c r="G343" s="5">
        <f t="shared" si="260"/>
        <v>-239762</v>
      </c>
      <c r="H343" s="5">
        <f t="shared" si="260"/>
        <v>-239762</v>
      </c>
      <c r="I343" s="5">
        <f t="shared" si="260"/>
        <v>-239762</v>
      </c>
      <c r="J343" s="5">
        <f t="shared" si="260"/>
        <v>-239762</v>
      </c>
      <c r="K343" s="5">
        <f t="shared" si="260"/>
        <v>-239762</v>
      </c>
      <c r="L343" s="5">
        <f t="shared" si="260"/>
        <v>-239762</v>
      </c>
      <c r="M343" s="5">
        <f t="shared" si="260"/>
        <v>-239762</v>
      </c>
      <c r="N343" s="5">
        <f t="shared" si="260"/>
        <v>-238915</v>
      </c>
      <c r="O343" s="264">
        <f t="shared" si="260"/>
        <v>-246769</v>
      </c>
      <c r="P343" s="5">
        <f t="shared" si="260"/>
        <v>-236528</v>
      </c>
      <c r="Q343" s="5">
        <f t="shared" si="260"/>
        <v>-247616</v>
      </c>
      <c r="R343" s="5">
        <f t="shared" si="260"/>
        <v>-290967</v>
      </c>
      <c r="S343" s="5">
        <f t="shared" si="260"/>
        <v>-239762</v>
      </c>
      <c r="T343" s="5">
        <f t="shared" si="260"/>
        <v>-239762</v>
      </c>
      <c r="U343" s="5">
        <f t="shared" si="260"/>
        <v>-239762</v>
      </c>
      <c r="V343" s="5">
        <f t="shared" si="260"/>
        <v>-239762</v>
      </c>
      <c r="W343" s="5">
        <f t="shared" si="260"/>
        <v>-239762</v>
      </c>
      <c r="X343" s="5">
        <f t="shared" si="260"/>
        <v>-239762</v>
      </c>
      <c r="Y343" s="5">
        <f t="shared" si="260"/>
        <v>-239762</v>
      </c>
      <c r="Z343" s="5">
        <f t="shared" si="260"/>
        <v>-238915</v>
      </c>
      <c r="AA343" s="264">
        <f t="shared" si="260"/>
        <v>-246769</v>
      </c>
      <c r="AB343" s="5">
        <f t="shared" si="260"/>
        <v>-236528</v>
      </c>
      <c r="AC343" s="5">
        <f t="shared" si="260"/>
        <v>-247616</v>
      </c>
      <c r="AD343" s="5">
        <f t="shared" si="260"/>
        <v>-290967</v>
      </c>
      <c r="AE343" s="5">
        <f t="shared" si="260"/>
        <v>-239762</v>
      </c>
      <c r="AF343" s="5">
        <f t="shared" si="260"/>
        <v>-239762</v>
      </c>
      <c r="AG343" s="5">
        <f t="shared" si="260"/>
        <v>-239762</v>
      </c>
      <c r="AH343" s="5">
        <f t="shared" si="260"/>
        <v>-239762</v>
      </c>
      <c r="AI343" s="5">
        <f t="shared" si="260"/>
        <v>-239762</v>
      </c>
      <c r="AJ343" s="5">
        <f t="shared" si="260"/>
        <v>-239762</v>
      </c>
      <c r="AK343" s="5">
        <f t="shared" si="260"/>
        <v>-239762</v>
      </c>
      <c r="AL343" s="5">
        <f t="shared" si="260"/>
        <v>-238915</v>
      </c>
      <c r="AM343" s="5">
        <f t="shared" si="260"/>
        <v>-246769</v>
      </c>
      <c r="AN343" s="263"/>
      <c r="AO343" s="9"/>
      <c r="AP343" s="9"/>
      <c r="AQ343" s="9"/>
      <c r="AR343" s="9"/>
      <c r="AS343" s="9"/>
      <c r="AT343" s="9"/>
      <c r="AU343" s="9"/>
      <c r="AV343" s="9"/>
      <c r="AW343" s="9"/>
      <c r="AX343" s="9"/>
    </row>
    <row r="344" spans="1:50" ht="15.75" customHeight="1" outlineLevel="1" x14ac:dyDescent="0.2">
      <c r="A344" s="34"/>
      <c r="B344" s="485" t="s">
        <v>297</v>
      </c>
      <c r="C344" s="477"/>
      <c r="D344" s="5">
        <f t="shared" ref="D344:AM344" si="261">D115</f>
        <v>-42940</v>
      </c>
      <c r="E344" s="5">
        <f t="shared" si="261"/>
        <v>-42940</v>
      </c>
      <c r="F344" s="5">
        <f t="shared" si="261"/>
        <v>-42940</v>
      </c>
      <c r="G344" s="5">
        <f t="shared" si="261"/>
        <v>-42940</v>
      </c>
      <c r="H344" s="5">
        <f t="shared" si="261"/>
        <v>-42940</v>
      </c>
      <c r="I344" s="5">
        <f t="shared" si="261"/>
        <v>-42940</v>
      </c>
      <c r="J344" s="5">
        <f t="shared" si="261"/>
        <v>-42940</v>
      </c>
      <c r="K344" s="5">
        <f t="shared" si="261"/>
        <v>-42940</v>
      </c>
      <c r="L344" s="5">
        <f t="shared" si="261"/>
        <v>-42940</v>
      </c>
      <c r="M344" s="5">
        <f t="shared" si="261"/>
        <v>-42940</v>
      </c>
      <c r="N344" s="5">
        <f t="shared" si="261"/>
        <v>-42940</v>
      </c>
      <c r="O344" s="264">
        <f t="shared" si="261"/>
        <v>-42940</v>
      </c>
      <c r="P344" s="5">
        <f t="shared" si="261"/>
        <v>-42940</v>
      </c>
      <c r="Q344" s="5">
        <f t="shared" si="261"/>
        <v>-42940</v>
      </c>
      <c r="R344" s="5">
        <f t="shared" si="261"/>
        <v>-42940</v>
      </c>
      <c r="S344" s="5">
        <f t="shared" si="261"/>
        <v>-42940</v>
      </c>
      <c r="T344" s="5">
        <f t="shared" si="261"/>
        <v>-42940</v>
      </c>
      <c r="U344" s="5">
        <f t="shared" si="261"/>
        <v>-42940</v>
      </c>
      <c r="V344" s="5">
        <f t="shared" si="261"/>
        <v>-42940</v>
      </c>
      <c r="W344" s="5">
        <f t="shared" si="261"/>
        <v>-42940</v>
      </c>
      <c r="X344" s="5">
        <f t="shared" si="261"/>
        <v>-42940</v>
      </c>
      <c r="Y344" s="5">
        <f t="shared" si="261"/>
        <v>-42940</v>
      </c>
      <c r="Z344" s="5">
        <f t="shared" si="261"/>
        <v>-42940</v>
      </c>
      <c r="AA344" s="264">
        <f t="shared" si="261"/>
        <v>-42940</v>
      </c>
      <c r="AB344" s="5">
        <f t="shared" si="261"/>
        <v>-42940</v>
      </c>
      <c r="AC344" s="5">
        <f t="shared" si="261"/>
        <v>-42940</v>
      </c>
      <c r="AD344" s="5">
        <f t="shared" si="261"/>
        <v>-42940</v>
      </c>
      <c r="AE344" s="5">
        <f t="shared" si="261"/>
        <v>-42940</v>
      </c>
      <c r="AF344" s="5">
        <f t="shared" si="261"/>
        <v>-42940</v>
      </c>
      <c r="AG344" s="5">
        <f t="shared" si="261"/>
        <v>-42940</v>
      </c>
      <c r="AH344" s="5">
        <f t="shared" si="261"/>
        <v>-42940</v>
      </c>
      <c r="AI344" s="5">
        <f t="shared" si="261"/>
        <v>-42940</v>
      </c>
      <c r="AJ344" s="5">
        <f t="shared" si="261"/>
        <v>-42940</v>
      </c>
      <c r="AK344" s="5">
        <f t="shared" si="261"/>
        <v>-42940</v>
      </c>
      <c r="AL344" s="5">
        <f t="shared" si="261"/>
        <v>-42940</v>
      </c>
      <c r="AM344" s="5">
        <f t="shared" si="261"/>
        <v>-42940</v>
      </c>
      <c r="AN344" s="263"/>
      <c r="AO344" s="9"/>
      <c r="AP344" s="9"/>
      <c r="AQ344" s="9"/>
      <c r="AR344" s="9"/>
      <c r="AS344" s="9"/>
      <c r="AT344" s="9"/>
      <c r="AU344" s="9"/>
      <c r="AV344" s="9"/>
      <c r="AW344" s="9"/>
      <c r="AX344" s="9"/>
    </row>
    <row r="345" spans="1:50" ht="15.75" customHeight="1" outlineLevel="1" x14ac:dyDescent="0.2">
      <c r="A345" s="34"/>
      <c r="B345" s="485" t="s">
        <v>74</v>
      </c>
      <c r="C345" s="477"/>
      <c r="D345" s="5">
        <f t="shared" ref="D345:AM345" si="262">D123</f>
        <v>-17107</v>
      </c>
      <c r="E345" s="5">
        <f t="shared" si="262"/>
        <v>-360665</v>
      </c>
      <c r="F345" s="5">
        <f t="shared" si="262"/>
        <v>-544684</v>
      </c>
      <c r="G345" s="5">
        <f t="shared" si="262"/>
        <v>-620478.12469682377</v>
      </c>
      <c r="H345" s="5">
        <f t="shared" si="262"/>
        <v>-535478.12469682377</v>
      </c>
      <c r="I345" s="5">
        <f t="shared" si="262"/>
        <v>-691793.24939364754</v>
      </c>
      <c r="J345" s="5">
        <f t="shared" si="262"/>
        <v>-691793.24939364754</v>
      </c>
      <c r="K345" s="5">
        <f t="shared" si="262"/>
        <v>-691793.24939364754</v>
      </c>
      <c r="L345" s="5">
        <f t="shared" si="262"/>
        <v>-691793.24939364754</v>
      </c>
      <c r="M345" s="5">
        <f t="shared" si="262"/>
        <v>-691793.24939364754</v>
      </c>
      <c r="N345" s="5">
        <f t="shared" si="262"/>
        <v>-740143.09006833029</v>
      </c>
      <c r="O345" s="264">
        <f t="shared" si="262"/>
        <v>-1572137.0710508833</v>
      </c>
      <c r="P345" s="5">
        <f t="shared" si="262"/>
        <v>-785106.82648774376</v>
      </c>
      <c r="Q345" s="5">
        <f t="shared" si="262"/>
        <v>-373733.76866423897</v>
      </c>
      <c r="R345" s="5">
        <f t="shared" si="262"/>
        <v>-916276.81488820701</v>
      </c>
      <c r="S345" s="5">
        <f t="shared" si="262"/>
        <v>-691793.24939364754</v>
      </c>
      <c r="T345" s="5">
        <f t="shared" si="262"/>
        <v>-691793.24939364754</v>
      </c>
      <c r="U345" s="5">
        <f t="shared" si="262"/>
        <v>-691793.24939364754</v>
      </c>
      <c r="V345" s="5">
        <f t="shared" si="262"/>
        <v>-691793.24939364754</v>
      </c>
      <c r="W345" s="5">
        <f t="shared" si="262"/>
        <v>-691793.24939364754</v>
      </c>
      <c r="X345" s="5">
        <f t="shared" si="262"/>
        <v>-691793.24939364754</v>
      </c>
      <c r="Y345" s="5">
        <f t="shared" si="262"/>
        <v>-691793.24939364754</v>
      </c>
      <c r="Z345" s="5">
        <f t="shared" si="262"/>
        <v>-740143.09006833029</v>
      </c>
      <c r="AA345" s="264">
        <f t="shared" si="262"/>
        <v>-1572137.0710508833</v>
      </c>
      <c r="AB345" s="5">
        <f t="shared" si="262"/>
        <v>-785106.82648774376</v>
      </c>
      <c r="AC345" s="5">
        <f t="shared" si="262"/>
        <v>-373733.76866423897</v>
      </c>
      <c r="AD345" s="5">
        <f t="shared" si="262"/>
        <v>-916276.81488820701</v>
      </c>
      <c r="AE345" s="5">
        <f t="shared" si="262"/>
        <v>-691793.24939364754</v>
      </c>
      <c r="AF345" s="5">
        <f t="shared" si="262"/>
        <v>-691793.24939364754</v>
      </c>
      <c r="AG345" s="5">
        <f t="shared" si="262"/>
        <v>-691793.24939364754</v>
      </c>
      <c r="AH345" s="5">
        <f t="shared" si="262"/>
        <v>-691793.24939364754</v>
      </c>
      <c r="AI345" s="5">
        <f t="shared" si="262"/>
        <v>-691793.24939364754</v>
      </c>
      <c r="AJ345" s="5">
        <f t="shared" si="262"/>
        <v>-691793.24939364754</v>
      </c>
      <c r="AK345" s="5">
        <f t="shared" si="262"/>
        <v>-691793.24939364754</v>
      </c>
      <c r="AL345" s="5">
        <f t="shared" si="262"/>
        <v>-740143.09006833029</v>
      </c>
      <c r="AM345" s="5">
        <f t="shared" si="262"/>
        <v>-1572137.0710508833</v>
      </c>
      <c r="AN345" s="263"/>
      <c r="AO345" s="9"/>
      <c r="AP345" s="9"/>
      <c r="AQ345" s="9"/>
      <c r="AR345" s="9"/>
      <c r="AS345" s="9"/>
      <c r="AT345" s="9"/>
      <c r="AU345" s="9"/>
      <c r="AV345" s="9"/>
      <c r="AW345" s="9"/>
      <c r="AX345" s="9"/>
    </row>
    <row r="346" spans="1:50" ht="15.75" customHeight="1" outlineLevel="1" x14ac:dyDescent="0.2">
      <c r="A346" s="34"/>
      <c r="B346" s="485" t="s">
        <v>175</v>
      </c>
      <c r="C346" s="477"/>
      <c r="D346" s="5">
        <f t="shared" ref="D346:AM346" si="263">D139</f>
        <v>-30010.37</v>
      </c>
      <c r="E346" s="5">
        <f t="shared" si="263"/>
        <v>-20137.207999999999</v>
      </c>
      <c r="F346" s="5">
        <f t="shared" si="263"/>
        <v>-44123.442999999999</v>
      </c>
      <c r="G346" s="5">
        <f t="shared" si="263"/>
        <v>-31187.272999999997</v>
      </c>
      <c r="H346" s="5">
        <f t="shared" si="263"/>
        <v>-46868.01857982311</v>
      </c>
      <c r="I346" s="5">
        <f t="shared" si="263"/>
        <v>-46868.01857982311</v>
      </c>
      <c r="J346" s="5">
        <f t="shared" si="263"/>
        <v>-46868.01857982311</v>
      </c>
      <c r="K346" s="5">
        <f t="shared" si="263"/>
        <v>-46868.01857982311</v>
      </c>
      <c r="L346" s="5">
        <f t="shared" si="263"/>
        <v>-46868.01857982311</v>
      </c>
      <c r="M346" s="5">
        <f t="shared" si="263"/>
        <v>-46868.01857982311</v>
      </c>
      <c r="N346" s="5">
        <f t="shared" si="263"/>
        <v>-49432.107761694991</v>
      </c>
      <c r="O346" s="264">
        <f t="shared" si="263"/>
        <v>-93545.183484993104</v>
      </c>
      <c r="P346" s="5">
        <f t="shared" si="263"/>
        <v>-51454.298486038802</v>
      </c>
      <c r="Q346" s="5">
        <f t="shared" si="263"/>
        <v>-30931.310436151194</v>
      </c>
      <c r="R346" s="5">
        <f t="shared" si="263"/>
        <v>-62716.223597148644</v>
      </c>
      <c r="S346" s="5">
        <f t="shared" si="263"/>
        <v>-46868.01857982311</v>
      </c>
      <c r="T346" s="5">
        <f t="shared" si="263"/>
        <v>-46868.01857982311</v>
      </c>
      <c r="U346" s="5">
        <f t="shared" si="263"/>
        <v>-46868.01857982311</v>
      </c>
      <c r="V346" s="5">
        <f t="shared" si="263"/>
        <v>-46868.01857982311</v>
      </c>
      <c r="W346" s="5">
        <f t="shared" si="263"/>
        <v>-46868.01857982311</v>
      </c>
      <c r="X346" s="5">
        <f t="shared" si="263"/>
        <v>-46868.01857982311</v>
      </c>
      <c r="Y346" s="5">
        <f t="shared" si="263"/>
        <v>-46868.01857982311</v>
      </c>
      <c r="Z346" s="5">
        <f t="shared" si="263"/>
        <v>-49432.107761694991</v>
      </c>
      <c r="AA346" s="264">
        <f t="shared" si="263"/>
        <v>-93545.183484993104</v>
      </c>
      <c r="AB346" s="5">
        <f t="shared" si="263"/>
        <v>-51454.298486038802</v>
      </c>
      <c r="AC346" s="5">
        <f t="shared" si="263"/>
        <v>-30931.310436151194</v>
      </c>
      <c r="AD346" s="5">
        <f t="shared" si="263"/>
        <v>-62716.223597148644</v>
      </c>
      <c r="AE346" s="5">
        <f t="shared" si="263"/>
        <v>-46868.01857982311</v>
      </c>
      <c r="AF346" s="5">
        <f t="shared" si="263"/>
        <v>-46868.01857982311</v>
      </c>
      <c r="AG346" s="5">
        <f t="shared" si="263"/>
        <v>-46868.01857982311</v>
      </c>
      <c r="AH346" s="5">
        <f t="shared" si="263"/>
        <v>-46868.01857982311</v>
      </c>
      <c r="AI346" s="5">
        <f t="shared" si="263"/>
        <v>-46868.01857982311</v>
      </c>
      <c r="AJ346" s="5">
        <f t="shared" si="263"/>
        <v>-46868.01857982311</v>
      </c>
      <c r="AK346" s="5">
        <f t="shared" si="263"/>
        <v>-46868.01857982311</v>
      </c>
      <c r="AL346" s="5">
        <f t="shared" si="263"/>
        <v>-49432.107761694991</v>
      </c>
      <c r="AM346" s="5">
        <f t="shared" si="263"/>
        <v>-93545.183484993104</v>
      </c>
      <c r="AN346" s="263"/>
      <c r="AO346" s="9"/>
      <c r="AP346" s="9"/>
      <c r="AQ346" s="9"/>
      <c r="AR346" s="9"/>
      <c r="AS346" s="9"/>
      <c r="AT346" s="9"/>
      <c r="AU346" s="9"/>
      <c r="AV346" s="9"/>
      <c r="AW346" s="9"/>
      <c r="AX346" s="9"/>
    </row>
    <row r="347" spans="1:50" ht="18.75" customHeight="1" outlineLevel="1" x14ac:dyDescent="0.2">
      <c r="A347" s="34"/>
      <c r="B347" s="46" t="s">
        <v>298</v>
      </c>
      <c r="C347" s="46"/>
      <c r="D347" s="5">
        <f t="shared" ref="D347:AM347" si="264">D140</f>
        <v>-377973</v>
      </c>
      <c r="E347" s="5">
        <f t="shared" si="264"/>
        <v>-136949</v>
      </c>
      <c r="F347" s="5">
        <f t="shared" si="264"/>
        <v>-128545</v>
      </c>
      <c r="G347" s="5">
        <f t="shared" si="264"/>
        <v>-96300.793721569891</v>
      </c>
      <c r="H347" s="5">
        <f t="shared" si="264"/>
        <v>-89705.923068113596</v>
      </c>
      <c r="I347" s="5">
        <f t="shared" si="264"/>
        <v>-67703.892684675811</v>
      </c>
      <c r="J347" s="5">
        <f t="shared" si="264"/>
        <v>-63658.164600498196</v>
      </c>
      <c r="K347" s="5">
        <f t="shared" si="264"/>
        <v>-61812.099837895228</v>
      </c>
      <c r="L347" s="5">
        <f t="shared" si="264"/>
        <v>-59220.243745394531</v>
      </c>
      <c r="M347" s="5">
        <f t="shared" si="264"/>
        <v>-56199.682940904044</v>
      </c>
      <c r="N347" s="5">
        <f t="shared" si="264"/>
        <v>-54494.20239703</v>
      </c>
      <c r="O347" s="264">
        <f t="shared" si="264"/>
        <v>-52679.437458567605</v>
      </c>
      <c r="P347" s="5">
        <f t="shared" si="264"/>
        <v>-40044.715606281323</v>
      </c>
      <c r="Q347" s="5">
        <f t="shared" si="264"/>
        <v>-39305.422606720305</v>
      </c>
      <c r="R347" s="5">
        <f t="shared" si="264"/>
        <v>-38547.690834859124</v>
      </c>
      <c r="S347" s="5">
        <f t="shared" si="264"/>
        <v>-37771.04808402832</v>
      </c>
      <c r="T347" s="5">
        <f t="shared" si="264"/>
        <v>-36975.009758346932</v>
      </c>
      <c r="U347" s="5">
        <f t="shared" si="264"/>
        <v>-36159.078540671864</v>
      </c>
      <c r="V347" s="5">
        <f t="shared" si="264"/>
        <v>-35322.744051485111</v>
      </c>
      <c r="W347" s="5">
        <f t="shared" si="264"/>
        <v>-34415.482498467776</v>
      </c>
      <c r="X347" s="5">
        <f t="shared" si="264"/>
        <v>-33536.756316502884</v>
      </c>
      <c r="Y347" s="5">
        <f t="shared" si="264"/>
        <v>-32636.013797841522</v>
      </c>
      <c r="Z347" s="5">
        <f t="shared" si="264"/>
        <v>-31712.688712159681</v>
      </c>
      <c r="AA347" s="264">
        <f t="shared" si="264"/>
        <v>-30933.431952769144</v>
      </c>
      <c r="AB347" s="5">
        <f t="shared" si="264"/>
        <v>-30187.977257163504</v>
      </c>
      <c r="AC347" s="5">
        <f t="shared" si="264"/>
        <v>-29424.706710573741</v>
      </c>
      <c r="AD347" s="5">
        <f t="shared" si="264"/>
        <v>-28643.183212009266</v>
      </c>
      <c r="AE347" s="5">
        <f t="shared" si="264"/>
        <v>-27842.958654030561</v>
      </c>
      <c r="AF347" s="5">
        <f t="shared" si="264"/>
        <v>-27023.57363865677</v>
      </c>
      <c r="AG347" s="5">
        <f t="shared" si="264"/>
        <v>-26184.557185772421</v>
      </c>
      <c r="AH347" s="5">
        <f t="shared" si="264"/>
        <v>-25325.426433831257</v>
      </c>
      <c r="AI347" s="5">
        <f t="shared" si="264"/>
        <v>-24445.686332649526</v>
      </c>
      <c r="AJ347" s="5">
        <f t="shared" si="264"/>
        <v>-23544.829328075532</v>
      </c>
      <c r="AK347" s="5">
        <f t="shared" si="264"/>
        <v>-22622.33503831628</v>
      </c>
      <c r="AL347" s="5">
        <f t="shared" si="264"/>
        <v>-21677.669921696019</v>
      </c>
      <c r="AM347" s="5">
        <f t="shared" si="264"/>
        <v>-20710.286935615557</v>
      </c>
      <c r="AN347" s="263"/>
      <c r="AO347" s="9"/>
      <c r="AP347" s="9"/>
      <c r="AQ347" s="9"/>
      <c r="AR347" s="9"/>
      <c r="AS347" s="9"/>
      <c r="AT347" s="9"/>
      <c r="AU347" s="9"/>
      <c r="AV347" s="9"/>
      <c r="AW347" s="9"/>
      <c r="AX347" s="9"/>
    </row>
    <row r="348" spans="1:50" ht="18.75" customHeight="1" outlineLevel="1" x14ac:dyDescent="0.2">
      <c r="A348" s="34"/>
      <c r="B348" s="366" t="s">
        <v>299</v>
      </c>
      <c r="C348" s="366"/>
      <c r="D348" s="249">
        <f t="shared" ref="D348:AM348" si="265">D239</f>
        <v>0</v>
      </c>
      <c r="E348" s="249">
        <f t="shared" si="265"/>
        <v>0</v>
      </c>
      <c r="F348" s="249">
        <f t="shared" si="265"/>
        <v>0</v>
      </c>
      <c r="G348" s="249">
        <f t="shared" si="265"/>
        <v>0</v>
      </c>
      <c r="H348" s="249">
        <f t="shared" si="265"/>
        <v>-117118.86</v>
      </c>
      <c r="I348" s="249">
        <f t="shared" si="265"/>
        <v>-115404.37</v>
      </c>
      <c r="J348" s="249">
        <f t="shared" si="265"/>
        <v>-113588.97</v>
      </c>
      <c r="K348" s="249">
        <f t="shared" si="265"/>
        <v>-34917.69</v>
      </c>
      <c r="L348" s="249">
        <f t="shared" si="265"/>
        <v>-32868.800000000003</v>
      </c>
      <c r="M348" s="249">
        <f t="shared" si="265"/>
        <v>-30782.21</v>
      </c>
      <c r="N348" s="249">
        <f t="shared" si="265"/>
        <v>-28657.22</v>
      </c>
      <c r="O348" s="367">
        <f t="shared" si="265"/>
        <v>-26493.119999999999</v>
      </c>
      <c r="P348" s="249">
        <f t="shared" si="265"/>
        <v>-24289.19</v>
      </c>
      <c r="Q348" s="249">
        <f t="shared" si="265"/>
        <v>-22044.71</v>
      </c>
      <c r="R348" s="249">
        <f t="shared" si="265"/>
        <v>-19758.919999999998</v>
      </c>
      <c r="S348" s="249">
        <f t="shared" si="265"/>
        <v>-17431.060000000001</v>
      </c>
      <c r="T348" s="249">
        <f t="shared" si="265"/>
        <v>-15060.37</v>
      </c>
      <c r="U348" s="249">
        <f t="shared" si="265"/>
        <v>-12646.04</v>
      </c>
      <c r="V348" s="249">
        <f t="shared" si="265"/>
        <v>-10187.280000000001</v>
      </c>
      <c r="W348" s="249">
        <f t="shared" si="265"/>
        <v>-7683.28</v>
      </c>
      <c r="X348" s="249">
        <f t="shared" si="265"/>
        <v>-5133.1899999999996</v>
      </c>
      <c r="Y348" s="249">
        <f t="shared" si="265"/>
        <v>-2536.17</v>
      </c>
      <c r="Z348" s="249">
        <f t="shared" si="265"/>
        <v>0</v>
      </c>
      <c r="AA348" s="367">
        <f t="shared" si="265"/>
        <v>0</v>
      </c>
      <c r="AB348" s="249">
        <f t="shared" si="265"/>
        <v>0</v>
      </c>
      <c r="AC348" s="249">
        <f t="shared" si="265"/>
        <v>0</v>
      </c>
      <c r="AD348" s="249">
        <f t="shared" si="265"/>
        <v>0</v>
      </c>
      <c r="AE348" s="249">
        <f t="shared" si="265"/>
        <v>0</v>
      </c>
      <c r="AF348" s="249">
        <f t="shared" si="265"/>
        <v>0</v>
      </c>
      <c r="AG348" s="249">
        <f t="shared" si="265"/>
        <v>0</v>
      </c>
      <c r="AH348" s="249">
        <f t="shared" si="265"/>
        <v>0</v>
      </c>
      <c r="AI348" s="249">
        <f t="shared" si="265"/>
        <v>0</v>
      </c>
      <c r="AJ348" s="249">
        <f t="shared" si="265"/>
        <v>0</v>
      </c>
      <c r="AK348" s="249">
        <f t="shared" si="265"/>
        <v>0</v>
      </c>
      <c r="AL348" s="249">
        <f t="shared" si="265"/>
        <v>0</v>
      </c>
      <c r="AM348" s="249">
        <f t="shared" si="265"/>
        <v>0</v>
      </c>
      <c r="AN348" s="263"/>
      <c r="AO348" s="9"/>
      <c r="AP348" s="9"/>
      <c r="AQ348" s="9"/>
      <c r="AR348" s="9"/>
      <c r="AS348" s="9"/>
      <c r="AT348" s="9"/>
      <c r="AU348" s="9"/>
      <c r="AV348" s="9"/>
      <c r="AW348" s="9"/>
      <c r="AX348" s="9"/>
    </row>
    <row r="349" spans="1:50" ht="18.75" customHeight="1" outlineLevel="1" x14ac:dyDescent="0.2">
      <c r="A349" s="368"/>
      <c r="B349" s="366" t="s">
        <v>300</v>
      </c>
      <c r="C349" s="366"/>
      <c r="D349" s="249"/>
      <c r="E349" s="249"/>
      <c r="F349" s="249"/>
      <c r="G349" s="125">
        <v>-200000</v>
      </c>
      <c r="H349" s="125"/>
      <c r="I349" s="249"/>
      <c r="J349" s="249"/>
      <c r="K349" s="249"/>
      <c r="L349" s="249"/>
      <c r="M349" s="249"/>
      <c r="N349" s="249"/>
      <c r="O349" s="367"/>
      <c r="P349" s="249"/>
      <c r="Q349" s="249"/>
      <c r="R349" s="249"/>
      <c r="S349" s="249"/>
      <c r="T349" s="249"/>
      <c r="U349" s="249"/>
      <c r="V349" s="249"/>
      <c r="W349" s="249"/>
      <c r="X349" s="249"/>
      <c r="Y349" s="249"/>
      <c r="Z349" s="249"/>
      <c r="AA349" s="367"/>
      <c r="AB349" s="249"/>
      <c r="AC349" s="249"/>
      <c r="AD349" s="249"/>
      <c r="AE349" s="249"/>
      <c r="AF349" s="249"/>
      <c r="AG349" s="249"/>
      <c r="AH349" s="249"/>
      <c r="AI349" s="249"/>
      <c r="AJ349" s="249"/>
      <c r="AK349" s="249"/>
      <c r="AL349" s="249"/>
      <c r="AM349" s="249"/>
      <c r="AN349" s="369"/>
      <c r="AO349" s="164"/>
      <c r="AP349" s="164"/>
      <c r="AQ349" s="164"/>
      <c r="AR349" s="164"/>
      <c r="AS349" s="164"/>
      <c r="AT349" s="164"/>
      <c r="AU349" s="164"/>
      <c r="AV349" s="164"/>
      <c r="AW349" s="164"/>
      <c r="AX349" s="164"/>
    </row>
    <row r="350" spans="1:50" ht="18.75" customHeight="1" outlineLevel="1" x14ac:dyDescent="0.2">
      <c r="A350" s="34"/>
      <c r="B350" s="46" t="s">
        <v>301</v>
      </c>
      <c r="C350" s="46"/>
      <c r="D350" s="5">
        <f t="shared" ref="D350:AM350" si="266">-D281</f>
        <v>0</v>
      </c>
      <c r="E350" s="5">
        <f t="shared" si="266"/>
        <v>0</v>
      </c>
      <c r="F350" s="5">
        <f t="shared" si="266"/>
        <v>0</v>
      </c>
      <c r="G350" s="5">
        <f t="shared" si="266"/>
        <v>-151200</v>
      </c>
      <c r="H350" s="5">
        <f t="shared" si="266"/>
        <v>-189000</v>
      </c>
      <c r="I350" s="5">
        <f t="shared" si="266"/>
        <v>-157500</v>
      </c>
      <c r="J350" s="5">
        <f t="shared" si="266"/>
        <v>-189000</v>
      </c>
      <c r="K350" s="5">
        <f t="shared" si="266"/>
        <v>-189000</v>
      </c>
      <c r="L350" s="5">
        <f t="shared" si="266"/>
        <v>-189000</v>
      </c>
      <c r="M350" s="5">
        <f t="shared" si="266"/>
        <v>-189000</v>
      </c>
      <c r="N350" s="5">
        <f t="shared" si="266"/>
        <v>-441000</v>
      </c>
      <c r="O350" s="264">
        <f t="shared" si="266"/>
        <v>-189000</v>
      </c>
      <c r="P350" s="5">
        <f t="shared" si="266"/>
        <v>-189000</v>
      </c>
      <c r="Q350" s="5">
        <f t="shared" si="266"/>
        <v>-94500</v>
      </c>
      <c r="R350" s="5">
        <f t="shared" si="266"/>
        <v>-252000</v>
      </c>
      <c r="S350" s="5">
        <f t="shared" si="266"/>
        <v>-176400</v>
      </c>
      <c r="T350" s="5">
        <f t="shared" si="266"/>
        <v>-176400</v>
      </c>
      <c r="U350" s="5">
        <f t="shared" si="266"/>
        <v>-176400</v>
      </c>
      <c r="V350" s="5">
        <f t="shared" si="266"/>
        <v>-189000</v>
      </c>
      <c r="W350" s="5">
        <f t="shared" si="266"/>
        <v>-189000</v>
      </c>
      <c r="X350" s="5">
        <f t="shared" si="266"/>
        <v>-189000</v>
      </c>
      <c r="Y350" s="5">
        <f t="shared" si="266"/>
        <v>-189000</v>
      </c>
      <c r="Z350" s="5">
        <f t="shared" si="266"/>
        <v>-441000</v>
      </c>
      <c r="AA350" s="264">
        <f t="shared" si="266"/>
        <v>-157500</v>
      </c>
      <c r="AB350" s="5">
        <f t="shared" si="266"/>
        <v>-201600</v>
      </c>
      <c r="AC350" s="5">
        <f t="shared" si="266"/>
        <v>-94500</v>
      </c>
      <c r="AD350" s="5">
        <f t="shared" si="266"/>
        <v>-264600</v>
      </c>
      <c r="AE350" s="5">
        <f t="shared" si="266"/>
        <v>-176400</v>
      </c>
      <c r="AF350" s="5">
        <f t="shared" si="266"/>
        <v>-189000</v>
      </c>
      <c r="AG350" s="5">
        <f t="shared" si="266"/>
        <v>-189000</v>
      </c>
      <c r="AH350" s="5">
        <f t="shared" si="266"/>
        <v>-157500</v>
      </c>
      <c r="AI350" s="5">
        <f t="shared" si="266"/>
        <v>-189000</v>
      </c>
      <c r="AJ350" s="5">
        <f t="shared" si="266"/>
        <v>-189000</v>
      </c>
      <c r="AK350" s="5">
        <f t="shared" si="266"/>
        <v>-189000</v>
      </c>
      <c r="AL350" s="5">
        <f t="shared" si="266"/>
        <v>-441000</v>
      </c>
      <c r="AM350" s="5">
        <f t="shared" si="266"/>
        <v>-220500</v>
      </c>
      <c r="AN350" s="263"/>
      <c r="AO350" s="9"/>
      <c r="AP350" s="9"/>
      <c r="AQ350" s="9"/>
      <c r="AR350" s="9"/>
      <c r="AS350" s="9"/>
      <c r="AT350" s="9"/>
      <c r="AU350" s="9"/>
      <c r="AV350" s="9"/>
      <c r="AW350" s="9"/>
      <c r="AX350" s="9"/>
    </row>
    <row r="351" spans="1:50" ht="15.75" customHeight="1" outlineLevel="1" x14ac:dyDescent="0.2">
      <c r="A351" s="34"/>
      <c r="B351" s="46" t="s">
        <v>302</v>
      </c>
      <c r="C351" s="46"/>
      <c r="D351" s="5">
        <f t="shared" ref="D351:AM351" si="267">-D296</f>
        <v>0</v>
      </c>
      <c r="E351" s="5">
        <f t="shared" si="267"/>
        <v>0</v>
      </c>
      <c r="F351" s="5">
        <f t="shared" si="267"/>
        <v>0</v>
      </c>
      <c r="G351" s="5">
        <f t="shared" si="267"/>
        <v>0</v>
      </c>
      <c r="H351" s="5">
        <f t="shared" si="267"/>
        <v>0</v>
      </c>
      <c r="I351" s="5">
        <f t="shared" si="267"/>
        <v>0</v>
      </c>
      <c r="J351" s="5">
        <f t="shared" si="267"/>
        <v>-42900</v>
      </c>
      <c r="K351" s="5">
        <f t="shared" si="267"/>
        <v>-42900</v>
      </c>
      <c r="L351" s="5">
        <f t="shared" si="267"/>
        <v>-42900</v>
      </c>
      <c r="M351" s="5">
        <f t="shared" si="267"/>
        <v>-42900</v>
      </c>
      <c r="N351" s="5">
        <f t="shared" si="267"/>
        <v>-100100</v>
      </c>
      <c r="O351" s="264">
        <f t="shared" si="267"/>
        <v>-85800</v>
      </c>
      <c r="P351" s="5">
        <f t="shared" si="267"/>
        <v>-57200</v>
      </c>
      <c r="Q351" s="5">
        <f t="shared" si="267"/>
        <v>-57200</v>
      </c>
      <c r="R351" s="5">
        <f t="shared" si="267"/>
        <v>-57200</v>
      </c>
      <c r="S351" s="5">
        <f t="shared" si="267"/>
        <v>-57200</v>
      </c>
      <c r="T351" s="5">
        <f t="shared" si="267"/>
        <v>-57200</v>
      </c>
      <c r="U351" s="5">
        <f t="shared" si="267"/>
        <v>-57200</v>
      </c>
      <c r="V351" s="5">
        <f t="shared" si="267"/>
        <v>-57200</v>
      </c>
      <c r="W351" s="5">
        <f t="shared" si="267"/>
        <v>-57200</v>
      </c>
      <c r="X351" s="5">
        <f t="shared" si="267"/>
        <v>-57200</v>
      </c>
      <c r="Y351" s="5">
        <f t="shared" si="267"/>
        <v>-57200</v>
      </c>
      <c r="Z351" s="5">
        <f t="shared" si="267"/>
        <v>-100100</v>
      </c>
      <c r="AA351" s="264">
        <f t="shared" si="267"/>
        <v>-85800</v>
      </c>
      <c r="AB351" s="5">
        <f t="shared" si="267"/>
        <v>-57200</v>
      </c>
      <c r="AC351" s="5">
        <f t="shared" si="267"/>
        <v>-57200</v>
      </c>
      <c r="AD351" s="5">
        <f t="shared" si="267"/>
        <v>-57200</v>
      </c>
      <c r="AE351" s="5">
        <f t="shared" si="267"/>
        <v>-57200</v>
      </c>
      <c r="AF351" s="5">
        <f t="shared" si="267"/>
        <v>-57200</v>
      </c>
      <c r="AG351" s="5">
        <f t="shared" si="267"/>
        <v>-57200</v>
      </c>
      <c r="AH351" s="5">
        <f t="shared" si="267"/>
        <v>-57200</v>
      </c>
      <c r="AI351" s="5">
        <f t="shared" si="267"/>
        <v>-57200</v>
      </c>
      <c r="AJ351" s="5">
        <f t="shared" si="267"/>
        <v>-57200</v>
      </c>
      <c r="AK351" s="5">
        <f t="shared" si="267"/>
        <v>-57200</v>
      </c>
      <c r="AL351" s="5">
        <f t="shared" si="267"/>
        <v>-100100</v>
      </c>
      <c r="AM351" s="5">
        <f t="shared" si="267"/>
        <v>-85800</v>
      </c>
      <c r="AN351" s="263"/>
      <c r="AO351" s="9"/>
      <c r="AP351" s="9"/>
      <c r="AQ351" s="9"/>
      <c r="AR351" s="9"/>
      <c r="AS351" s="9"/>
      <c r="AT351" s="9"/>
      <c r="AU351" s="9"/>
      <c r="AV351" s="9"/>
      <c r="AW351" s="9"/>
      <c r="AX351" s="9"/>
    </row>
    <row r="352" spans="1:50" ht="15.75" customHeight="1" outlineLevel="1" x14ac:dyDescent="0.2">
      <c r="A352" s="34"/>
      <c r="B352" s="46" t="s">
        <v>303</v>
      </c>
      <c r="C352" s="46"/>
      <c r="D352" s="5"/>
      <c r="E352" s="6">
        <v>-67035</v>
      </c>
      <c r="F352" s="6">
        <v>-341080</v>
      </c>
      <c r="G352" s="5">
        <f t="shared" ref="G352:AM352" si="268">-G266</f>
        <v>0</v>
      </c>
      <c r="H352" s="5">
        <f t="shared" si="268"/>
        <v>-165000</v>
      </c>
      <c r="I352" s="5">
        <f t="shared" si="268"/>
        <v>-143000</v>
      </c>
      <c r="J352" s="5">
        <f t="shared" si="268"/>
        <v>-176000</v>
      </c>
      <c r="K352" s="5">
        <f t="shared" si="268"/>
        <v>-198000</v>
      </c>
      <c r="L352" s="5">
        <f t="shared" si="268"/>
        <v>-198000</v>
      </c>
      <c r="M352" s="5">
        <f t="shared" si="268"/>
        <v>-209000</v>
      </c>
      <c r="N352" s="5">
        <f t="shared" si="268"/>
        <v>-209000</v>
      </c>
      <c r="O352" s="264">
        <f t="shared" si="268"/>
        <v>-209000</v>
      </c>
      <c r="P352" s="5">
        <f t="shared" si="268"/>
        <v>-209000</v>
      </c>
      <c r="Q352" s="5">
        <f t="shared" si="268"/>
        <v>-209000</v>
      </c>
      <c r="R352" s="5">
        <f t="shared" si="268"/>
        <v>-275000</v>
      </c>
      <c r="S352" s="5">
        <f t="shared" si="268"/>
        <v>-209000</v>
      </c>
      <c r="T352" s="5">
        <f t="shared" si="268"/>
        <v>-209000</v>
      </c>
      <c r="U352" s="5">
        <f t="shared" si="268"/>
        <v>-209000</v>
      </c>
      <c r="V352" s="5">
        <f t="shared" si="268"/>
        <v>-209000</v>
      </c>
      <c r="W352" s="5">
        <f t="shared" si="268"/>
        <v>-209000</v>
      </c>
      <c r="X352" s="5">
        <f t="shared" si="268"/>
        <v>-209000</v>
      </c>
      <c r="Y352" s="5">
        <f t="shared" si="268"/>
        <v>-209000</v>
      </c>
      <c r="Z352" s="5">
        <f t="shared" si="268"/>
        <v>-209000</v>
      </c>
      <c r="AA352" s="264">
        <f t="shared" si="268"/>
        <v>-209000</v>
      </c>
      <c r="AB352" s="5">
        <f t="shared" si="268"/>
        <v>-209000</v>
      </c>
      <c r="AC352" s="5">
        <f t="shared" si="268"/>
        <v>-275000</v>
      </c>
      <c r="AD352" s="5">
        <f t="shared" si="268"/>
        <v>-209000</v>
      </c>
      <c r="AE352" s="5">
        <f t="shared" si="268"/>
        <v>-209000</v>
      </c>
      <c r="AF352" s="5">
        <f t="shared" si="268"/>
        <v>-209000</v>
      </c>
      <c r="AG352" s="5">
        <f t="shared" si="268"/>
        <v>-209000</v>
      </c>
      <c r="AH352" s="5">
        <f t="shared" si="268"/>
        <v>-209000</v>
      </c>
      <c r="AI352" s="5">
        <f t="shared" si="268"/>
        <v>-209000</v>
      </c>
      <c r="AJ352" s="5">
        <f t="shared" si="268"/>
        <v>-209000</v>
      </c>
      <c r="AK352" s="5">
        <f t="shared" si="268"/>
        <v>-209000</v>
      </c>
      <c r="AL352" s="5">
        <f t="shared" si="268"/>
        <v>-209000</v>
      </c>
      <c r="AM352" s="5">
        <f t="shared" si="268"/>
        <v>-209000</v>
      </c>
      <c r="AN352" s="263"/>
      <c r="AO352" s="9"/>
      <c r="AP352" s="9"/>
      <c r="AQ352" s="9"/>
      <c r="AR352" s="9"/>
      <c r="AS352" s="9"/>
      <c r="AT352" s="9"/>
      <c r="AU352" s="9"/>
      <c r="AV352" s="9"/>
      <c r="AW352" s="9"/>
      <c r="AX352" s="9"/>
    </row>
    <row r="353" spans="1:50" ht="15.75" customHeight="1" outlineLevel="1" x14ac:dyDescent="0.2">
      <c r="A353" s="34"/>
      <c r="B353" s="46" t="s">
        <v>304</v>
      </c>
      <c r="C353" s="46"/>
      <c r="D353" s="5"/>
      <c r="E353" s="5"/>
      <c r="F353" s="5"/>
      <c r="G353" s="6">
        <f t="shared" ref="G353:AM353" si="269">-G311</f>
        <v>0</v>
      </c>
      <c r="H353" s="6">
        <f t="shared" si="269"/>
        <v>-415044</v>
      </c>
      <c r="I353" s="6">
        <f t="shared" si="269"/>
        <v>-50400</v>
      </c>
      <c r="J353" s="6">
        <f t="shared" si="269"/>
        <v>-94500</v>
      </c>
      <c r="K353" s="6">
        <f t="shared" si="269"/>
        <v>-157500</v>
      </c>
      <c r="L353" s="6">
        <f t="shared" si="269"/>
        <v>-157500</v>
      </c>
      <c r="M353" s="6">
        <f t="shared" si="269"/>
        <v>-157500</v>
      </c>
      <c r="N353" s="6">
        <f t="shared" si="269"/>
        <v>-315000</v>
      </c>
      <c r="O353" s="321">
        <f t="shared" si="269"/>
        <v>-189000</v>
      </c>
      <c r="P353" s="6">
        <f t="shared" si="269"/>
        <v>-157500</v>
      </c>
      <c r="Q353" s="6">
        <f t="shared" si="269"/>
        <v>-157500</v>
      </c>
      <c r="R353" s="6">
        <f t="shared" si="269"/>
        <v>-157500</v>
      </c>
      <c r="S353" s="6">
        <f t="shared" si="269"/>
        <v>-157500</v>
      </c>
      <c r="T353" s="6">
        <f t="shared" si="269"/>
        <v>-157500</v>
      </c>
      <c r="U353" s="6">
        <f t="shared" si="269"/>
        <v>-157500</v>
      </c>
      <c r="V353" s="6">
        <f t="shared" si="269"/>
        <v>-157500</v>
      </c>
      <c r="W353" s="6">
        <f t="shared" si="269"/>
        <v>-157500</v>
      </c>
      <c r="X353" s="6">
        <f t="shared" si="269"/>
        <v>-157500</v>
      </c>
      <c r="Y353" s="6">
        <f t="shared" si="269"/>
        <v>-157500</v>
      </c>
      <c r="Z353" s="6">
        <f t="shared" si="269"/>
        <v>-315000</v>
      </c>
      <c r="AA353" s="321">
        <f t="shared" si="269"/>
        <v>-157500</v>
      </c>
      <c r="AB353" s="6">
        <f t="shared" si="269"/>
        <v>-157500</v>
      </c>
      <c r="AC353" s="6">
        <f t="shared" si="269"/>
        <v>-157500</v>
      </c>
      <c r="AD353" s="6">
        <f t="shared" si="269"/>
        <v>-157500</v>
      </c>
      <c r="AE353" s="6">
        <f t="shared" si="269"/>
        <v>-157500</v>
      </c>
      <c r="AF353" s="6">
        <f t="shared" si="269"/>
        <v>-157500</v>
      </c>
      <c r="AG353" s="6">
        <f t="shared" si="269"/>
        <v>-157500</v>
      </c>
      <c r="AH353" s="6">
        <f t="shared" si="269"/>
        <v>-157500</v>
      </c>
      <c r="AI353" s="6">
        <f t="shared" si="269"/>
        <v>-157500</v>
      </c>
      <c r="AJ353" s="6">
        <f t="shared" si="269"/>
        <v>-157500</v>
      </c>
      <c r="AK353" s="6">
        <f t="shared" si="269"/>
        <v>-157500</v>
      </c>
      <c r="AL353" s="6">
        <f t="shared" si="269"/>
        <v>-315000</v>
      </c>
      <c r="AM353" s="6">
        <f t="shared" si="269"/>
        <v>-220500</v>
      </c>
      <c r="AN353" s="263"/>
      <c r="AO353" s="9"/>
      <c r="AP353" s="9"/>
      <c r="AQ353" s="9"/>
      <c r="AR353" s="9"/>
      <c r="AS353" s="9"/>
      <c r="AT353" s="9"/>
      <c r="AU353" s="9"/>
      <c r="AV353" s="9"/>
      <c r="AW353" s="9"/>
      <c r="AX353" s="9"/>
    </row>
    <row r="354" spans="1:50" ht="15.75" customHeight="1" outlineLevel="1" x14ac:dyDescent="0.2">
      <c r="A354" s="34"/>
      <c r="B354" s="46" t="s">
        <v>305</v>
      </c>
      <c r="C354" s="46"/>
      <c r="D354" s="5"/>
      <c r="E354" s="5"/>
      <c r="F354" s="5"/>
      <c r="G354" s="6"/>
      <c r="H354" s="6"/>
      <c r="I354" s="5"/>
      <c r="J354" s="5"/>
      <c r="K354" s="5"/>
      <c r="L354" s="5"/>
      <c r="M354" s="5"/>
      <c r="N354" s="5"/>
      <c r="O354" s="264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264"/>
      <c r="AB354" s="5"/>
      <c r="AC354" s="5"/>
      <c r="AD354" s="5"/>
      <c r="AE354" s="5"/>
      <c r="AF354" s="5"/>
      <c r="AG354" s="5"/>
      <c r="AH354" s="5"/>
      <c r="AI354" s="5"/>
      <c r="AJ354" s="5"/>
      <c r="AK354" s="5"/>
      <c r="AL354" s="5"/>
      <c r="AM354" s="5"/>
      <c r="AN354" s="263"/>
      <c r="AO354" s="9"/>
      <c r="AP354" s="9"/>
      <c r="AQ354" s="9"/>
      <c r="AR354" s="9"/>
      <c r="AS354" s="9"/>
      <c r="AT354" s="9"/>
      <c r="AU354" s="9"/>
      <c r="AV354" s="9"/>
      <c r="AW354" s="9"/>
      <c r="AX354" s="9"/>
    </row>
    <row r="355" spans="1:50" ht="15.75" customHeight="1" outlineLevel="1" x14ac:dyDescent="0.2">
      <c r="A355" s="34"/>
      <c r="B355" s="46" t="s">
        <v>306</v>
      </c>
      <c r="C355" s="46"/>
      <c r="D355" s="5"/>
      <c r="E355" s="5"/>
      <c r="F355" s="5"/>
      <c r="G355" s="6">
        <v>-431280</v>
      </c>
      <c r="H355" s="6">
        <v>-282800</v>
      </c>
      <c r="I355" s="5"/>
      <c r="J355" s="5"/>
      <c r="K355" s="5"/>
      <c r="L355" s="5"/>
      <c r="M355" s="5"/>
      <c r="N355" s="5"/>
      <c r="O355" s="264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264"/>
      <c r="AB355" s="5"/>
      <c r="AC355" s="5"/>
      <c r="AD355" s="5"/>
      <c r="AE355" s="5"/>
      <c r="AF355" s="5"/>
      <c r="AG355" s="5"/>
      <c r="AH355" s="5"/>
      <c r="AI355" s="5"/>
      <c r="AJ355" s="5"/>
      <c r="AK355" s="5"/>
      <c r="AL355" s="5"/>
      <c r="AM355" s="5"/>
      <c r="AN355" s="263"/>
      <c r="AO355" s="9"/>
      <c r="AP355" s="9"/>
      <c r="AQ355" s="9"/>
      <c r="AR355" s="9"/>
      <c r="AS355" s="9"/>
      <c r="AT355" s="9"/>
      <c r="AU355" s="9"/>
      <c r="AV355" s="9"/>
      <c r="AW355" s="9"/>
      <c r="AX355" s="9"/>
    </row>
    <row r="356" spans="1:50" ht="15.75" customHeight="1" outlineLevel="1" x14ac:dyDescent="0.2">
      <c r="A356" s="34"/>
      <c r="B356" s="186" t="s">
        <v>98</v>
      </c>
      <c r="C356" s="46"/>
      <c r="D356" s="5">
        <f t="shared" ref="D356:AM356" si="270">SUM(D357)</f>
        <v>0</v>
      </c>
      <c r="E356" s="5">
        <f t="shared" si="270"/>
        <v>0</v>
      </c>
      <c r="F356" s="5">
        <f t="shared" si="270"/>
        <v>0</v>
      </c>
      <c r="G356" s="5">
        <f t="shared" si="270"/>
        <v>0</v>
      </c>
      <c r="H356" s="5">
        <f t="shared" si="270"/>
        <v>0</v>
      </c>
      <c r="I356" s="5">
        <f t="shared" si="270"/>
        <v>0</v>
      </c>
      <c r="J356" s="5">
        <f t="shared" si="270"/>
        <v>0</v>
      </c>
      <c r="K356" s="5">
        <f t="shared" si="270"/>
        <v>0</v>
      </c>
      <c r="L356" s="5">
        <f t="shared" si="270"/>
        <v>0</v>
      </c>
      <c r="M356" s="5">
        <f t="shared" si="270"/>
        <v>0</v>
      </c>
      <c r="N356" s="5">
        <f t="shared" si="270"/>
        <v>0</v>
      </c>
      <c r="O356" s="264">
        <f t="shared" si="270"/>
        <v>0</v>
      </c>
      <c r="P356" s="5">
        <f t="shared" si="270"/>
        <v>0</v>
      </c>
      <c r="Q356" s="5">
        <f t="shared" si="270"/>
        <v>0</v>
      </c>
      <c r="R356" s="5">
        <f t="shared" si="270"/>
        <v>0</v>
      </c>
      <c r="S356" s="5">
        <f t="shared" si="270"/>
        <v>0</v>
      </c>
      <c r="T356" s="5">
        <f t="shared" si="270"/>
        <v>0</v>
      </c>
      <c r="U356" s="5">
        <f t="shared" si="270"/>
        <v>0</v>
      </c>
      <c r="V356" s="5">
        <f t="shared" si="270"/>
        <v>0</v>
      </c>
      <c r="W356" s="5">
        <f t="shared" si="270"/>
        <v>0</v>
      </c>
      <c r="X356" s="5">
        <f t="shared" si="270"/>
        <v>0</v>
      </c>
      <c r="Y356" s="5">
        <f t="shared" si="270"/>
        <v>0</v>
      </c>
      <c r="Z356" s="5">
        <f t="shared" si="270"/>
        <v>0</v>
      </c>
      <c r="AA356" s="264">
        <f t="shared" si="270"/>
        <v>0</v>
      </c>
      <c r="AB356" s="5">
        <f t="shared" si="270"/>
        <v>0</v>
      </c>
      <c r="AC356" s="5">
        <f t="shared" si="270"/>
        <v>0</v>
      </c>
      <c r="AD356" s="5">
        <f t="shared" si="270"/>
        <v>0</v>
      </c>
      <c r="AE356" s="5">
        <f t="shared" si="270"/>
        <v>0</v>
      </c>
      <c r="AF356" s="5">
        <f t="shared" si="270"/>
        <v>0</v>
      </c>
      <c r="AG356" s="5">
        <f t="shared" si="270"/>
        <v>0</v>
      </c>
      <c r="AH356" s="5">
        <f t="shared" si="270"/>
        <v>0</v>
      </c>
      <c r="AI356" s="5">
        <f t="shared" si="270"/>
        <v>0</v>
      </c>
      <c r="AJ356" s="5">
        <f t="shared" si="270"/>
        <v>0</v>
      </c>
      <c r="AK356" s="5">
        <f t="shared" si="270"/>
        <v>0</v>
      </c>
      <c r="AL356" s="5">
        <f t="shared" si="270"/>
        <v>0</v>
      </c>
      <c r="AM356" s="5">
        <f t="shared" si="270"/>
        <v>0</v>
      </c>
      <c r="AN356" s="263"/>
      <c r="AO356" s="9"/>
      <c r="AP356" s="9"/>
      <c r="AQ356" s="9"/>
      <c r="AR356" s="9"/>
      <c r="AS356" s="9"/>
      <c r="AT356" s="9"/>
      <c r="AU356" s="9"/>
      <c r="AV356" s="9"/>
      <c r="AW356" s="9"/>
      <c r="AX356" s="9"/>
    </row>
    <row r="357" spans="1:50" ht="15.75" customHeight="1" outlineLevel="1" x14ac:dyDescent="0.2">
      <c r="A357" s="34"/>
      <c r="B357" s="46"/>
      <c r="C357" s="46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264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264"/>
      <c r="AB357" s="5"/>
      <c r="AC357" s="5"/>
      <c r="AD357" s="5"/>
      <c r="AE357" s="5"/>
      <c r="AF357" s="5"/>
      <c r="AG357" s="5"/>
      <c r="AH357" s="5"/>
      <c r="AI357" s="5"/>
      <c r="AJ357" s="5"/>
      <c r="AK357" s="5"/>
      <c r="AL357" s="5"/>
      <c r="AM357" s="5"/>
      <c r="AN357" s="263"/>
      <c r="AO357" s="9"/>
      <c r="AP357" s="9"/>
      <c r="AQ357" s="9"/>
      <c r="AR357" s="9"/>
      <c r="AS357" s="9"/>
      <c r="AT357" s="9"/>
      <c r="AU357" s="9"/>
      <c r="AV357" s="9"/>
      <c r="AW357" s="9"/>
      <c r="AX357" s="9"/>
    </row>
    <row r="358" spans="1:50" ht="15.75" customHeight="1" outlineLevel="1" x14ac:dyDescent="0.2">
      <c r="A358" s="34"/>
      <c r="B358" s="186" t="s">
        <v>91</v>
      </c>
      <c r="C358" s="186"/>
      <c r="D358" s="185">
        <f t="shared" ref="D358:AM358" si="271">SUM(D359:D362)</f>
        <v>-985533.59000000008</v>
      </c>
      <c r="E358" s="185">
        <f t="shared" si="271"/>
        <v>119931.44125</v>
      </c>
      <c r="F358" s="185">
        <f t="shared" si="271"/>
        <v>96954.174983229139</v>
      </c>
      <c r="G358" s="185">
        <f t="shared" si="271"/>
        <v>1311368.6553882365</v>
      </c>
      <c r="H358" s="185">
        <f t="shared" si="271"/>
        <v>-544982.7962652198</v>
      </c>
      <c r="I358" s="185">
        <f t="shared" si="271"/>
        <v>-133753.34064865753</v>
      </c>
      <c r="J358" s="185">
        <f t="shared" si="271"/>
        <v>-139614.46873283514</v>
      </c>
      <c r="K358" s="185">
        <f t="shared" si="271"/>
        <v>-220131.81349543811</v>
      </c>
      <c r="L358" s="185">
        <f t="shared" si="271"/>
        <v>-224772.5595879388</v>
      </c>
      <c r="M358" s="185">
        <f t="shared" si="271"/>
        <v>-229879.71039242926</v>
      </c>
      <c r="N358" s="185">
        <f t="shared" si="271"/>
        <v>-259219.18093630334</v>
      </c>
      <c r="O358" s="185">
        <f t="shared" si="271"/>
        <v>-641889.04587476572</v>
      </c>
      <c r="P358" s="185">
        <f t="shared" si="271"/>
        <v>-164895.28439371867</v>
      </c>
      <c r="Q358" s="185">
        <f t="shared" si="271"/>
        <v>-167878.1373932797</v>
      </c>
      <c r="R358" s="185">
        <f t="shared" si="271"/>
        <v>-170921.65916514088</v>
      </c>
      <c r="S358" s="185">
        <f t="shared" si="271"/>
        <v>-174026.16191597169</v>
      </c>
      <c r="T358" s="185">
        <f t="shared" si="271"/>
        <v>-177192.20024165307</v>
      </c>
      <c r="U358" s="185">
        <f t="shared" si="271"/>
        <v>-180423.15145932813</v>
      </c>
      <c r="V358" s="185">
        <f t="shared" si="271"/>
        <v>-182042.2459485149</v>
      </c>
      <c r="W358" s="185">
        <f t="shared" si="271"/>
        <v>-174619.50750153221</v>
      </c>
      <c r="X358" s="185">
        <f t="shared" si="271"/>
        <v>-178048.32368349709</v>
      </c>
      <c r="Y358" s="185">
        <f t="shared" si="271"/>
        <v>-175642.67620215847</v>
      </c>
      <c r="Z358" s="185">
        <f t="shared" si="271"/>
        <v>-33021.311287840319</v>
      </c>
      <c r="AA358" s="339">
        <f t="shared" si="271"/>
        <v>-31994.568047230856</v>
      </c>
      <c r="AB358" s="185">
        <f t="shared" si="271"/>
        <v>-32740.022742836496</v>
      </c>
      <c r="AC358" s="185">
        <f t="shared" si="271"/>
        <v>-33503.293289426263</v>
      </c>
      <c r="AD358" s="185">
        <f t="shared" si="271"/>
        <v>-34284.816787990734</v>
      </c>
      <c r="AE358" s="185">
        <f t="shared" si="271"/>
        <v>-35085.041345969432</v>
      </c>
      <c r="AF358" s="185">
        <f t="shared" si="271"/>
        <v>-35904.426361343227</v>
      </c>
      <c r="AG358" s="185">
        <f t="shared" si="271"/>
        <v>-36743.442814227572</v>
      </c>
      <c r="AH358" s="185">
        <f t="shared" si="271"/>
        <v>-37602.573566168743</v>
      </c>
      <c r="AI358" s="185">
        <f t="shared" si="271"/>
        <v>-38482.313667350478</v>
      </c>
      <c r="AJ358" s="185">
        <f t="shared" si="271"/>
        <v>-39383.170671924468</v>
      </c>
      <c r="AK358" s="185">
        <f t="shared" si="271"/>
        <v>-40305.664961683724</v>
      </c>
      <c r="AL358" s="185">
        <f t="shared" si="271"/>
        <v>-41250.330078303981</v>
      </c>
      <c r="AM358" s="185">
        <f t="shared" si="271"/>
        <v>-39861.713064384443</v>
      </c>
      <c r="AN358" s="263"/>
      <c r="AO358" s="9"/>
      <c r="AP358" s="9"/>
      <c r="AQ358" s="9"/>
      <c r="AR358" s="9"/>
      <c r="AS358" s="9"/>
      <c r="AT358" s="9"/>
      <c r="AU358" s="9"/>
      <c r="AV358" s="9"/>
      <c r="AW358" s="9"/>
      <c r="AX358" s="9"/>
    </row>
    <row r="359" spans="1:50" ht="15.75" customHeight="1" outlineLevel="1" x14ac:dyDescent="0.2">
      <c r="A359" s="34"/>
      <c r="B359" s="46" t="s">
        <v>307</v>
      </c>
      <c r="C359" s="46"/>
      <c r="D359" s="5">
        <f>D154+D160+D166+D172+D178+D184+D190+D196+D202+D208+D214+D220+D226+72000</f>
        <v>-1065433.5900000001</v>
      </c>
      <c r="E359" s="5">
        <f t="shared" ref="E359:F359" si="272">E154+E160+E166+E172+E178+E184+E190+E196+E202+E208+E214+E220+E226</f>
        <v>-94898.558749999997</v>
      </c>
      <c r="F359" s="5">
        <f t="shared" si="272"/>
        <v>-400567.82501677086</v>
      </c>
      <c r="G359" s="5">
        <f t="shared" ref="G359:O359" si="273">G154+G160+G166+G172+G178+G184+G190+G196+G202+G208+G214+G220+G226+G232</f>
        <v>-178631.34461176343</v>
      </c>
      <c r="H359" s="5">
        <f t="shared" si="273"/>
        <v>-515851.38626521977</v>
      </c>
      <c r="I359" s="5">
        <f t="shared" si="273"/>
        <v>-102907.44064865753</v>
      </c>
      <c r="J359" s="5">
        <f t="shared" si="273"/>
        <v>-106953.16873283514</v>
      </c>
      <c r="K359" s="5">
        <f t="shared" si="273"/>
        <v>-108799.23349543811</v>
      </c>
      <c r="L359" s="5">
        <f t="shared" si="273"/>
        <v>-111391.0895879388</v>
      </c>
      <c r="M359" s="5">
        <f t="shared" si="273"/>
        <v>-114411.65039242928</v>
      </c>
      <c r="N359" s="5">
        <f t="shared" si="273"/>
        <v>-141626.13093630332</v>
      </c>
      <c r="O359" s="264">
        <f t="shared" si="273"/>
        <v>-522131.8958747657</v>
      </c>
      <c r="P359" s="5">
        <f t="shared" ref="P359:AM359" si="274">P154+P160+P166+P172+P178+P184+P190+P196+P202+P208+P214+P220+P226</f>
        <v>-42933.284393718677</v>
      </c>
      <c r="Q359" s="5">
        <f t="shared" si="274"/>
        <v>-43672.577393279702</v>
      </c>
      <c r="R359" s="5">
        <f t="shared" si="274"/>
        <v>-44430.309165140869</v>
      </c>
      <c r="S359" s="5">
        <f t="shared" si="274"/>
        <v>-45206.95191597168</v>
      </c>
      <c r="T359" s="5">
        <f t="shared" si="274"/>
        <v>-46002.990241653075</v>
      </c>
      <c r="U359" s="5">
        <f t="shared" si="274"/>
        <v>-46818.921459328136</v>
      </c>
      <c r="V359" s="5">
        <f t="shared" si="274"/>
        <v>-45979.255948514896</v>
      </c>
      <c r="W359" s="5">
        <f t="shared" si="274"/>
        <v>-36052.517501532224</v>
      </c>
      <c r="X359" s="5">
        <f t="shared" si="274"/>
        <v>-36931.243683497116</v>
      </c>
      <c r="Y359" s="5">
        <f t="shared" si="274"/>
        <v>-37831.986202158478</v>
      </c>
      <c r="Z359" s="5">
        <f t="shared" si="274"/>
        <v>-33021.311287840319</v>
      </c>
      <c r="AA359" s="264">
        <f t="shared" si="274"/>
        <v>-31994.568047230856</v>
      </c>
      <c r="AB359" s="5">
        <f t="shared" si="274"/>
        <v>-32740.022742836496</v>
      </c>
      <c r="AC359" s="5">
        <f t="shared" si="274"/>
        <v>-33503.293289426263</v>
      </c>
      <c r="AD359" s="5">
        <f t="shared" si="274"/>
        <v>-34284.816787990734</v>
      </c>
      <c r="AE359" s="5">
        <f t="shared" si="274"/>
        <v>-35085.041345969432</v>
      </c>
      <c r="AF359" s="5">
        <f t="shared" si="274"/>
        <v>-35904.426361343227</v>
      </c>
      <c r="AG359" s="5">
        <f t="shared" si="274"/>
        <v>-36743.442814227572</v>
      </c>
      <c r="AH359" s="5">
        <f t="shared" si="274"/>
        <v>-37602.573566168743</v>
      </c>
      <c r="AI359" s="5">
        <f t="shared" si="274"/>
        <v>-38482.313667350478</v>
      </c>
      <c r="AJ359" s="5">
        <f t="shared" si="274"/>
        <v>-39383.170671924468</v>
      </c>
      <c r="AK359" s="5">
        <f t="shared" si="274"/>
        <v>-40305.664961683724</v>
      </c>
      <c r="AL359" s="5">
        <f t="shared" si="274"/>
        <v>-41250.330078303981</v>
      </c>
      <c r="AM359" s="5">
        <f t="shared" si="274"/>
        <v>-39861.713064384443</v>
      </c>
      <c r="AN359" s="263"/>
      <c r="AO359" s="9"/>
      <c r="AP359" s="9"/>
      <c r="AQ359" s="9"/>
      <c r="AR359" s="9"/>
      <c r="AS359" s="9"/>
      <c r="AT359" s="9"/>
      <c r="AU359" s="9"/>
      <c r="AV359" s="9"/>
      <c r="AW359" s="9"/>
      <c r="AX359" s="9"/>
    </row>
    <row r="360" spans="1:50" ht="15.75" customHeight="1" outlineLevel="1" x14ac:dyDescent="0.2">
      <c r="A360" s="34"/>
      <c r="B360" s="46" t="s">
        <v>308</v>
      </c>
      <c r="C360" s="46"/>
      <c r="D360" s="6">
        <v>79900</v>
      </c>
      <c r="E360" s="6">
        <v>214830</v>
      </c>
      <c r="F360" s="6">
        <v>497522</v>
      </c>
      <c r="G360" s="6">
        <v>1990000</v>
      </c>
      <c r="H360" s="5"/>
      <c r="I360" s="5"/>
      <c r="J360" s="5"/>
      <c r="K360" s="5"/>
      <c r="L360" s="5"/>
      <c r="M360" s="5"/>
      <c r="N360" s="5"/>
      <c r="O360" s="264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264"/>
      <c r="AB360" s="5"/>
      <c r="AC360" s="5"/>
      <c r="AD360" s="5"/>
      <c r="AE360" s="5"/>
      <c r="AF360" s="5"/>
      <c r="AG360" s="5"/>
      <c r="AH360" s="5"/>
      <c r="AI360" s="5"/>
      <c r="AJ360" s="5"/>
      <c r="AK360" s="5"/>
      <c r="AL360" s="5"/>
      <c r="AM360" s="5"/>
      <c r="AN360" s="263"/>
      <c r="AO360" s="9"/>
      <c r="AP360" s="9"/>
      <c r="AQ360" s="9"/>
      <c r="AR360" s="9"/>
      <c r="AS360" s="9"/>
      <c r="AT360" s="9"/>
      <c r="AU360" s="9"/>
      <c r="AV360" s="9"/>
      <c r="AW360" s="9"/>
      <c r="AX360" s="9"/>
    </row>
    <row r="361" spans="1:50" ht="15.75" customHeight="1" outlineLevel="1" x14ac:dyDescent="0.2">
      <c r="A361" s="34"/>
      <c r="B361" s="366" t="s">
        <v>309</v>
      </c>
      <c r="C361" s="366"/>
      <c r="D361" s="125">
        <f t="shared" ref="D361:AM361" si="275">D240</f>
        <v>0</v>
      </c>
      <c r="E361" s="125">
        <f t="shared" si="275"/>
        <v>0</v>
      </c>
      <c r="F361" s="125">
        <f t="shared" si="275"/>
        <v>0</v>
      </c>
      <c r="G361" s="125">
        <f t="shared" si="275"/>
        <v>0</v>
      </c>
      <c r="H361" s="125">
        <f t="shared" si="275"/>
        <v>-29131.41</v>
      </c>
      <c r="I361" s="125">
        <f t="shared" si="275"/>
        <v>-30845.9</v>
      </c>
      <c r="J361" s="125">
        <f t="shared" si="275"/>
        <v>-32661.3</v>
      </c>
      <c r="K361" s="125">
        <f t="shared" si="275"/>
        <v>-111332.58</v>
      </c>
      <c r="L361" s="125">
        <f t="shared" si="275"/>
        <v>-113381.47</v>
      </c>
      <c r="M361" s="125">
        <f t="shared" si="275"/>
        <v>-115468.06</v>
      </c>
      <c r="N361" s="125">
        <f t="shared" si="275"/>
        <v>-117593.05</v>
      </c>
      <c r="O361" s="370">
        <f t="shared" si="275"/>
        <v>-119757.15</v>
      </c>
      <c r="P361" s="125">
        <f t="shared" si="275"/>
        <v>-121962</v>
      </c>
      <c r="Q361" s="125">
        <f t="shared" si="275"/>
        <v>-124205.56</v>
      </c>
      <c r="R361" s="125">
        <f t="shared" si="275"/>
        <v>-126491.35</v>
      </c>
      <c r="S361" s="125">
        <f t="shared" si="275"/>
        <v>-128819.21</v>
      </c>
      <c r="T361" s="125">
        <f t="shared" si="275"/>
        <v>-131189.21</v>
      </c>
      <c r="U361" s="125">
        <f t="shared" si="275"/>
        <v>-133604.23000000001</v>
      </c>
      <c r="V361" s="125">
        <f t="shared" si="275"/>
        <v>-136062.99</v>
      </c>
      <c r="W361" s="125">
        <f t="shared" si="275"/>
        <v>-138566.99</v>
      </c>
      <c r="X361" s="125">
        <f t="shared" si="275"/>
        <v>-141117.07999999999</v>
      </c>
      <c r="Y361" s="125">
        <f t="shared" si="275"/>
        <v>-137810.69</v>
      </c>
      <c r="Z361" s="125">
        <f t="shared" si="275"/>
        <v>0</v>
      </c>
      <c r="AA361" s="370">
        <f t="shared" si="275"/>
        <v>0</v>
      </c>
      <c r="AB361" s="125">
        <f t="shared" si="275"/>
        <v>0</v>
      </c>
      <c r="AC361" s="125">
        <f t="shared" si="275"/>
        <v>0</v>
      </c>
      <c r="AD361" s="125">
        <f t="shared" si="275"/>
        <v>0</v>
      </c>
      <c r="AE361" s="125">
        <f t="shared" si="275"/>
        <v>0</v>
      </c>
      <c r="AF361" s="125">
        <f t="shared" si="275"/>
        <v>0</v>
      </c>
      <c r="AG361" s="125">
        <f t="shared" si="275"/>
        <v>0</v>
      </c>
      <c r="AH361" s="125">
        <f t="shared" si="275"/>
        <v>0</v>
      </c>
      <c r="AI361" s="125">
        <f t="shared" si="275"/>
        <v>0</v>
      </c>
      <c r="AJ361" s="125">
        <f t="shared" si="275"/>
        <v>0</v>
      </c>
      <c r="AK361" s="125">
        <f t="shared" si="275"/>
        <v>0</v>
      </c>
      <c r="AL361" s="125">
        <f t="shared" si="275"/>
        <v>0</v>
      </c>
      <c r="AM361" s="125">
        <f t="shared" si="275"/>
        <v>0</v>
      </c>
      <c r="AN361" s="263"/>
      <c r="AO361" s="371"/>
      <c r="AP361" s="9"/>
      <c r="AQ361" s="9"/>
      <c r="AR361" s="9"/>
      <c r="AS361" s="9"/>
      <c r="AT361" s="9"/>
      <c r="AU361" s="9"/>
      <c r="AV361" s="9"/>
      <c r="AW361" s="9"/>
      <c r="AX361" s="9"/>
    </row>
    <row r="362" spans="1:50" ht="21.75" customHeight="1" outlineLevel="1" x14ac:dyDescent="0.2">
      <c r="A362" s="34"/>
      <c r="B362" s="46" t="s">
        <v>310</v>
      </c>
      <c r="C362" s="46"/>
      <c r="D362" s="183"/>
      <c r="E362" s="183"/>
      <c r="F362" s="183"/>
      <c r="G362" s="6">
        <v>-500000</v>
      </c>
      <c r="H362" s="183"/>
      <c r="I362" s="183"/>
      <c r="J362" s="183"/>
      <c r="K362" s="183"/>
      <c r="L362" s="183"/>
      <c r="M362" s="183"/>
      <c r="N362" s="183"/>
      <c r="O362" s="345"/>
      <c r="P362" s="183"/>
      <c r="Q362" s="183"/>
      <c r="R362" s="183"/>
      <c r="S362" s="183"/>
      <c r="T362" s="183"/>
      <c r="U362" s="183"/>
      <c r="V362" s="183"/>
      <c r="W362" s="183"/>
      <c r="X362" s="183"/>
      <c r="Y362" s="183"/>
      <c r="Z362" s="183"/>
      <c r="AA362" s="345"/>
      <c r="AB362" s="183"/>
      <c r="AC362" s="183"/>
      <c r="AD362" s="183"/>
      <c r="AE362" s="183"/>
      <c r="AF362" s="183"/>
      <c r="AG362" s="183"/>
      <c r="AH362" s="183"/>
      <c r="AI362" s="183"/>
      <c r="AJ362" s="183"/>
      <c r="AK362" s="183"/>
      <c r="AL362" s="183"/>
      <c r="AM362" s="183"/>
      <c r="AN362" s="263"/>
      <c r="AO362" s="371"/>
      <c r="AP362" s="9"/>
      <c r="AQ362" s="9"/>
      <c r="AR362" s="9"/>
      <c r="AS362" s="9"/>
      <c r="AT362" s="9"/>
      <c r="AU362" s="9"/>
      <c r="AV362" s="9"/>
      <c r="AW362" s="9"/>
      <c r="AX362" s="9"/>
    </row>
    <row r="363" spans="1:50" ht="21.75" customHeight="1" outlineLevel="1" x14ac:dyDescent="0.2">
      <c r="A363" s="34"/>
      <c r="B363" s="186" t="s">
        <v>311</v>
      </c>
      <c r="C363" s="46"/>
      <c r="D363" s="183">
        <f t="shared" ref="D363:AM363" si="276">D339+D340+D356+D358</f>
        <v>578172.11199999996</v>
      </c>
      <c r="E363" s="183">
        <f t="shared" si="276"/>
        <v>295874.26005000016</v>
      </c>
      <c r="F363" s="183">
        <f t="shared" si="276"/>
        <v>849852.55283322942</v>
      </c>
      <c r="G363" s="183">
        <f t="shared" si="276"/>
        <v>1585297.4656030724</v>
      </c>
      <c r="H363" s="183">
        <f t="shared" si="276"/>
        <v>790444.05699667661</v>
      </c>
      <c r="I363" s="183">
        <f t="shared" si="276"/>
        <v>975165.49969345715</v>
      </c>
      <c r="J363" s="183">
        <f t="shared" si="276"/>
        <v>1008386.9423902376</v>
      </c>
      <c r="K363" s="183">
        <f t="shared" si="276"/>
        <v>856608.3850870179</v>
      </c>
      <c r="L363" s="183">
        <f t="shared" si="276"/>
        <v>704829.82778379822</v>
      </c>
      <c r="M363" s="183">
        <f t="shared" si="276"/>
        <v>542051.27048057865</v>
      </c>
      <c r="N363" s="183">
        <f t="shared" si="276"/>
        <v>-47230.164035048569</v>
      </c>
      <c r="O363" s="345">
        <f t="shared" si="276"/>
        <v>439322.60645841772</v>
      </c>
      <c r="P363" s="183">
        <f t="shared" si="276"/>
        <v>456596.59610064921</v>
      </c>
      <c r="Q363" s="183">
        <f t="shared" si="276"/>
        <v>386488.44586394553</v>
      </c>
      <c r="R363" s="183">
        <f t="shared" si="276"/>
        <v>577525.93536403053</v>
      </c>
      <c r="S363" s="183">
        <f t="shared" si="276"/>
        <v>500680.71139414422</v>
      </c>
      <c r="T363" s="183">
        <f t="shared" si="276"/>
        <v>423836.17742425791</v>
      </c>
      <c r="U363" s="183">
        <f t="shared" si="276"/>
        <v>346990.95345437154</v>
      </c>
      <c r="V363" s="183">
        <f t="shared" si="276"/>
        <v>259221.72948448523</v>
      </c>
      <c r="W363" s="183">
        <f t="shared" si="276"/>
        <v>182286.50551459892</v>
      </c>
      <c r="X363" s="183">
        <f t="shared" si="276"/>
        <v>105351.28154471266</v>
      </c>
      <c r="Y363" s="183">
        <f t="shared" si="276"/>
        <v>34319.467574826354</v>
      </c>
      <c r="Z363" s="183">
        <f t="shared" si="276"/>
        <v>-277325.36360746744</v>
      </c>
      <c r="AA363" s="345">
        <f t="shared" si="276"/>
        <v>930361.01021933276</v>
      </c>
      <c r="AB363" s="183">
        <f t="shared" si="276"/>
        <v>1101336.1898615642</v>
      </c>
      <c r="AC363" s="183">
        <f t="shared" si="276"/>
        <v>1131528.3096248605</v>
      </c>
      <c r="AD363" s="183">
        <f t="shared" si="276"/>
        <v>1492266.0691249454</v>
      </c>
      <c r="AE363" s="183">
        <f t="shared" si="276"/>
        <v>1531721.1151550591</v>
      </c>
      <c r="AF363" s="183">
        <f t="shared" si="276"/>
        <v>1558576.1611851731</v>
      </c>
      <c r="AG363" s="183">
        <f t="shared" si="276"/>
        <v>1585431.2072152868</v>
      </c>
      <c r="AH363" s="183">
        <f t="shared" si="276"/>
        <v>1643786.2532454005</v>
      </c>
      <c r="AI363" s="183">
        <f t="shared" si="276"/>
        <v>1670641.2992755142</v>
      </c>
      <c r="AJ363" s="183">
        <f t="shared" si="276"/>
        <v>1697496.3453056279</v>
      </c>
      <c r="AK363" s="183">
        <f t="shared" si="276"/>
        <v>1724351.3913357414</v>
      </c>
      <c r="AL363" s="183">
        <f t="shared" si="276"/>
        <v>1364512.5601534476</v>
      </c>
      <c r="AM363" s="183">
        <f t="shared" si="276"/>
        <v>2398554.9339802475</v>
      </c>
      <c r="AN363" s="263"/>
      <c r="AO363" s="371"/>
      <c r="AP363" s="9"/>
      <c r="AQ363" s="9"/>
      <c r="AR363" s="9"/>
      <c r="AS363" s="9"/>
      <c r="AT363" s="9"/>
      <c r="AU363" s="9"/>
      <c r="AV363" s="9"/>
      <c r="AW363" s="9"/>
      <c r="AX363" s="9"/>
    </row>
    <row r="364" spans="1:50" ht="15.75" customHeight="1" outlineLevel="1" x14ac:dyDescent="0.2">
      <c r="A364" s="34"/>
      <c r="B364" s="186" t="s">
        <v>130</v>
      </c>
      <c r="C364" s="46"/>
      <c r="D364" s="6">
        <v>-483004.37</v>
      </c>
      <c r="E364" s="6">
        <v>-260012.04</v>
      </c>
      <c r="F364" s="6">
        <v>-239247</v>
      </c>
      <c r="G364" s="6">
        <v>-200000</v>
      </c>
      <c r="H364" s="6">
        <v>-200000</v>
      </c>
      <c r="I364" s="6">
        <v>-200000</v>
      </c>
      <c r="J364" s="6">
        <v>-300000</v>
      </c>
      <c r="K364" s="6">
        <v>-300000</v>
      </c>
      <c r="L364" s="6">
        <v>-300000</v>
      </c>
      <c r="M364" s="6">
        <v>-300000</v>
      </c>
      <c r="N364" s="6">
        <v>-300000</v>
      </c>
      <c r="O364" s="321">
        <v>-300000</v>
      </c>
      <c r="P364" s="6">
        <v>-300000</v>
      </c>
      <c r="Q364" s="6">
        <v>-300000</v>
      </c>
      <c r="R364" s="6">
        <v>-300000</v>
      </c>
      <c r="S364" s="6">
        <v>-300000</v>
      </c>
      <c r="T364" s="6">
        <v>-300000</v>
      </c>
      <c r="U364" s="6">
        <v>-300000</v>
      </c>
      <c r="V364" s="6">
        <v>-300000</v>
      </c>
      <c r="W364" s="6">
        <v>-300000</v>
      </c>
      <c r="X364" s="6">
        <v>-300000</v>
      </c>
      <c r="Y364" s="6">
        <v>-300000</v>
      </c>
      <c r="Z364" s="6">
        <v>-300000</v>
      </c>
      <c r="AA364" s="321">
        <v>-300000</v>
      </c>
      <c r="AB364" s="6">
        <v>-350000</v>
      </c>
      <c r="AC364" s="6">
        <v>-350000</v>
      </c>
      <c r="AD364" s="6">
        <v>-350000</v>
      </c>
      <c r="AE364" s="6">
        <v>-350000</v>
      </c>
      <c r="AF364" s="6">
        <v>-350000</v>
      </c>
      <c r="AG364" s="6">
        <v>-350000</v>
      </c>
      <c r="AH364" s="6">
        <v>-350000</v>
      </c>
      <c r="AI364" s="6">
        <v>-350000</v>
      </c>
      <c r="AJ364" s="6">
        <v>-350000</v>
      </c>
      <c r="AK364" s="6">
        <v>-350000</v>
      </c>
      <c r="AL364" s="6">
        <v>-350000</v>
      </c>
      <c r="AM364" s="6">
        <v>-350000</v>
      </c>
      <c r="AN364" s="263"/>
      <c r="AO364" s="371"/>
      <c r="AP364" s="9"/>
      <c r="AQ364" s="9"/>
      <c r="AR364" s="9"/>
      <c r="AS364" s="9"/>
      <c r="AT364" s="9"/>
      <c r="AU364" s="9"/>
      <c r="AV364" s="9"/>
      <c r="AW364" s="9"/>
      <c r="AX364" s="9"/>
    </row>
    <row r="365" spans="1:50" ht="15.75" customHeight="1" outlineLevel="1" x14ac:dyDescent="0.2">
      <c r="A365" s="34"/>
      <c r="B365" s="46"/>
      <c r="C365" s="46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264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264"/>
      <c r="AB365" s="5"/>
      <c r="AC365" s="5"/>
      <c r="AD365" s="5"/>
      <c r="AE365" s="5"/>
      <c r="AF365" s="5"/>
      <c r="AG365" s="5"/>
      <c r="AH365" s="5"/>
      <c r="AI365" s="5"/>
      <c r="AJ365" s="5"/>
      <c r="AK365" s="5"/>
      <c r="AL365" s="5"/>
      <c r="AM365" s="5"/>
      <c r="AN365" s="263"/>
      <c r="AO365" s="371"/>
      <c r="AP365" s="9"/>
      <c r="AQ365" s="9"/>
      <c r="AR365" s="9"/>
      <c r="AS365" s="9"/>
      <c r="AT365" s="9"/>
      <c r="AU365" s="9"/>
      <c r="AV365" s="9"/>
      <c r="AW365" s="9"/>
      <c r="AX365" s="9"/>
    </row>
    <row r="366" spans="1:50" ht="15.75" customHeight="1" outlineLevel="1" x14ac:dyDescent="0.2">
      <c r="A366" s="177"/>
      <c r="B366" s="186"/>
      <c r="C366" s="6"/>
      <c r="D366" s="185"/>
      <c r="E366" s="183"/>
      <c r="F366" s="185"/>
      <c r="G366" s="185"/>
      <c r="H366" s="185"/>
      <c r="I366" s="185"/>
      <c r="J366" s="185"/>
      <c r="K366" s="185"/>
      <c r="L366" s="185"/>
      <c r="M366" s="185"/>
      <c r="N366" s="185"/>
      <c r="O366" s="339"/>
      <c r="P366" s="185"/>
      <c r="Q366" s="185"/>
      <c r="R366" s="185"/>
      <c r="S366" s="185"/>
      <c r="T366" s="185"/>
      <c r="U366" s="185"/>
      <c r="V366" s="185"/>
      <c r="W366" s="185"/>
      <c r="X366" s="185"/>
      <c r="Y366" s="185"/>
      <c r="Z366" s="185"/>
      <c r="AA366" s="339"/>
      <c r="AB366" s="185"/>
      <c r="AC366" s="185"/>
      <c r="AD366" s="185"/>
      <c r="AE366" s="185"/>
      <c r="AF366" s="185"/>
      <c r="AG366" s="185"/>
      <c r="AH366" s="185"/>
      <c r="AI366" s="185"/>
      <c r="AJ366" s="185"/>
      <c r="AK366" s="185"/>
      <c r="AL366" s="185"/>
      <c r="AM366" s="185"/>
      <c r="AN366" s="365"/>
      <c r="AO366" s="372"/>
      <c r="AP366" s="9"/>
      <c r="AQ366" s="9"/>
      <c r="AR366" s="9"/>
      <c r="AS366" s="9"/>
      <c r="AT366" s="9"/>
      <c r="AU366" s="9"/>
      <c r="AV366" s="9"/>
      <c r="AW366" s="9"/>
      <c r="AX366" s="9"/>
    </row>
    <row r="367" spans="1:50" ht="15.75" customHeight="1" outlineLevel="1" x14ac:dyDescent="0.2">
      <c r="A367" s="177"/>
      <c r="B367" s="186" t="s">
        <v>312</v>
      </c>
      <c r="C367" s="6"/>
      <c r="D367" s="185">
        <f>D363+D364</f>
        <v>95167.741999999969</v>
      </c>
      <c r="E367" s="185">
        <f t="shared" ref="E367:O367" si="277">E339+E340+E358+E364</f>
        <v>35862.220050000149</v>
      </c>
      <c r="F367" s="185">
        <f t="shared" si="277"/>
        <v>610605.55283322942</v>
      </c>
      <c r="G367" s="185">
        <f t="shared" si="277"/>
        <v>1385297.4656030724</v>
      </c>
      <c r="H367" s="185">
        <f t="shared" si="277"/>
        <v>590444.05699667661</v>
      </c>
      <c r="I367" s="185">
        <f t="shared" si="277"/>
        <v>775165.49969345715</v>
      </c>
      <c r="J367" s="185">
        <f t="shared" si="277"/>
        <v>708386.94239023759</v>
      </c>
      <c r="K367" s="185">
        <f t="shared" si="277"/>
        <v>556608.3850870179</v>
      </c>
      <c r="L367" s="185">
        <f t="shared" si="277"/>
        <v>404829.82778379822</v>
      </c>
      <c r="M367" s="185">
        <f t="shared" si="277"/>
        <v>242051.27048057865</v>
      </c>
      <c r="N367" s="185">
        <f t="shared" si="277"/>
        <v>-347230.16403504857</v>
      </c>
      <c r="O367" s="339">
        <f t="shared" si="277"/>
        <v>139322.60645841772</v>
      </c>
      <c r="P367" s="185">
        <f>P339+P340+P358</f>
        <v>456596.59610064921</v>
      </c>
      <c r="Q367" s="185">
        <f t="shared" ref="Q367:AA367" si="278">Q339+Q340+Q358+Q364</f>
        <v>86488.445863945526</v>
      </c>
      <c r="R367" s="185">
        <f t="shared" si="278"/>
        <v>277525.93536403053</v>
      </c>
      <c r="S367" s="185">
        <f t="shared" si="278"/>
        <v>200680.71139414422</v>
      </c>
      <c r="T367" s="185">
        <f t="shared" si="278"/>
        <v>123836.17742425791</v>
      </c>
      <c r="U367" s="185">
        <f t="shared" si="278"/>
        <v>46990.953454371542</v>
      </c>
      <c r="V367" s="185">
        <f t="shared" si="278"/>
        <v>-40778.270515514771</v>
      </c>
      <c r="W367" s="185">
        <f t="shared" si="278"/>
        <v>-117713.49448540108</v>
      </c>
      <c r="X367" s="185">
        <f t="shared" si="278"/>
        <v>-194648.71845528734</v>
      </c>
      <c r="Y367" s="185">
        <f t="shared" si="278"/>
        <v>-265680.53242517367</v>
      </c>
      <c r="Z367" s="185">
        <f t="shared" si="278"/>
        <v>-577325.36360746739</v>
      </c>
      <c r="AA367" s="339">
        <f t="shared" si="278"/>
        <v>630361.01021933276</v>
      </c>
      <c r="AB367" s="185">
        <f>AB339+AB340+AB358</f>
        <v>1101336.1898615642</v>
      </c>
      <c r="AC367" s="185">
        <f t="shared" ref="AC367:AM367" si="279">AC339+AC340+AC358+AC364</f>
        <v>781528.30962486053</v>
      </c>
      <c r="AD367" s="185">
        <f t="shared" si="279"/>
        <v>1142266.0691249454</v>
      </c>
      <c r="AE367" s="185">
        <f t="shared" si="279"/>
        <v>1181721.1151550591</v>
      </c>
      <c r="AF367" s="185">
        <f t="shared" si="279"/>
        <v>1208576.1611851731</v>
      </c>
      <c r="AG367" s="185">
        <f t="shared" si="279"/>
        <v>1235431.2072152868</v>
      </c>
      <c r="AH367" s="185">
        <f t="shared" si="279"/>
        <v>1293786.2532454005</v>
      </c>
      <c r="AI367" s="185">
        <f t="shared" si="279"/>
        <v>1320641.2992755142</v>
      </c>
      <c r="AJ367" s="185">
        <f t="shared" si="279"/>
        <v>1347496.3453056279</v>
      </c>
      <c r="AK367" s="185">
        <f t="shared" si="279"/>
        <v>1374351.3913357414</v>
      </c>
      <c r="AL367" s="185">
        <f t="shared" si="279"/>
        <v>1014512.5601534476</v>
      </c>
      <c r="AM367" s="185">
        <f t="shared" si="279"/>
        <v>2048554.9339802475</v>
      </c>
      <c r="AN367" s="365"/>
      <c r="AO367" s="9"/>
      <c r="AP367" s="9"/>
      <c r="AQ367" s="9"/>
      <c r="AR367" s="9"/>
      <c r="AS367" s="9"/>
      <c r="AT367" s="9"/>
      <c r="AU367" s="9"/>
      <c r="AV367" s="9"/>
      <c r="AW367" s="9"/>
      <c r="AX367" s="9"/>
    </row>
    <row r="368" spans="1:50" ht="15.75" customHeight="1" outlineLevel="1" x14ac:dyDescent="0.2">
      <c r="A368" s="177"/>
      <c r="B368" s="186"/>
      <c r="C368" s="6"/>
      <c r="D368" s="185"/>
      <c r="E368" s="185"/>
      <c r="F368" s="185"/>
      <c r="G368" s="185"/>
      <c r="H368" s="185"/>
      <c r="I368" s="185"/>
      <c r="J368" s="185"/>
      <c r="K368" s="185"/>
      <c r="L368" s="185"/>
      <c r="M368" s="185"/>
      <c r="N368" s="185"/>
      <c r="O368" s="339"/>
      <c r="P368" s="185"/>
      <c r="Q368" s="185"/>
      <c r="R368" s="185"/>
      <c r="S368" s="185"/>
      <c r="T368" s="185"/>
      <c r="U368" s="185"/>
      <c r="V368" s="185"/>
      <c r="W368" s="185"/>
      <c r="X368" s="185"/>
      <c r="Y368" s="185"/>
      <c r="Z368" s="185"/>
      <c r="AA368" s="339"/>
      <c r="AB368" s="185"/>
      <c r="AC368" s="185"/>
      <c r="AD368" s="185"/>
      <c r="AE368" s="185"/>
      <c r="AF368" s="185"/>
      <c r="AG368" s="185"/>
      <c r="AH368" s="185"/>
      <c r="AI368" s="185"/>
      <c r="AJ368" s="185"/>
      <c r="AK368" s="185"/>
      <c r="AL368" s="185"/>
      <c r="AM368" s="185"/>
      <c r="AN368" s="365"/>
      <c r="AO368" s="9"/>
      <c r="AP368" s="9"/>
      <c r="AQ368" s="9"/>
      <c r="AR368" s="9"/>
      <c r="AS368" s="9"/>
      <c r="AT368" s="9"/>
      <c r="AU368" s="9"/>
      <c r="AV368" s="9"/>
      <c r="AW368" s="9"/>
      <c r="AX368" s="9"/>
    </row>
    <row r="369" spans="1:50" ht="15.75" customHeight="1" outlineLevel="1" x14ac:dyDescent="0.2">
      <c r="A369" s="177"/>
      <c r="B369" s="187"/>
      <c r="C369" s="6"/>
      <c r="D369" s="183"/>
      <c r="E369" s="183"/>
      <c r="F369" s="185"/>
      <c r="G369" s="185"/>
      <c r="H369" s="185"/>
      <c r="I369" s="185"/>
      <c r="J369" s="185"/>
      <c r="K369" s="185"/>
      <c r="L369" s="185"/>
      <c r="M369" s="185"/>
      <c r="N369" s="185"/>
      <c r="O369" s="339"/>
      <c r="P369" s="185"/>
      <c r="Q369" s="185"/>
      <c r="R369" s="185"/>
      <c r="S369" s="185"/>
      <c r="T369" s="185"/>
      <c r="U369" s="185"/>
      <c r="V369" s="185"/>
      <c r="W369" s="185"/>
      <c r="X369" s="185"/>
      <c r="Y369" s="185"/>
      <c r="Z369" s="185"/>
      <c r="AA369" s="339"/>
      <c r="AB369" s="185"/>
      <c r="AC369" s="185"/>
      <c r="AD369" s="185"/>
      <c r="AE369" s="185"/>
      <c r="AF369" s="185"/>
      <c r="AG369" s="185"/>
      <c r="AH369" s="185"/>
      <c r="AI369" s="185"/>
      <c r="AJ369" s="185"/>
      <c r="AK369" s="185"/>
      <c r="AL369" s="185"/>
      <c r="AM369" s="185"/>
      <c r="AN369" s="365"/>
      <c r="AO369" s="9"/>
      <c r="AP369" s="9"/>
      <c r="AQ369" s="9"/>
      <c r="AR369" s="9"/>
      <c r="AS369" s="9"/>
      <c r="AT369" s="9"/>
      <c r="AU369" s="9"/>
      <c r="AV369" s="9"/>
      <c r="AW369" s="9"/>
      <c r="AX369" s="9"/>
    </row>
    <row r="370" spans="1:50" ht="15.75" customHeight="1" x14ac:dyDescent="0.2">
      <c r="A370" s="1"/>
      <c r="B370" s="24"/>
      <c r="C370" s="22"/>
      <c r="D370" s="22"/>
      <c r="E370" s="22"/>
      <c r="F370" s="22"/>
      <c r="G370" s="22"/>
      <c r="H370" s="22"/>
      <c r="I370" s="22"/>
      <c r="J370" s="22"/>
      <c r="K370" s="22"/>
      <c r="L370" s="22"/>
      <c r="M370" s="22"/>
      <c r="N370" s="22"/>
      <c r="O370" s="266"/>
      <c r="P370" s="22"/>
      <c r="Q370" s="22"/>
      <c r="R370" s="22"/>
      <c r="S370" s="22"/>
      <c r="T370" s="22"/>
      <c r="U370" s="22"/>
      <c r="V370" s="22"/>
      <c r="W370" s="22"/>
      <c r="X370" s="22"/>
      <c r="Y370" s="22"/>
      <c r="Z370" s="22"/>
      <c r="AA370" s="266"/>
      <c r="AB370" s="22"/>
      <c r="AC370" s="22"/>
      <c r="AD370" s="22"/>
      <c r="AE370" s="22"/>
      <c r="AF370" s="22"/>
      <c r="AG370" s="22"/>
      <c r="AH370" s="22"/>
      <c r="AI370" s="22"/>
      <c r="AJ370" s="22"/>
      <c r="AK370" s="22"/>
      <c r="AL370" s="22"/>
      <c r="AM370" s="22"/>
      <c r="AN370" s="373"/>
      <c r="AO370" s="9"/>
      <c r="AP370" s="9"/>
      <c r="AQ370" s="9"/>
      <c r="AR370" s="9"/>
      <c r="AS370" s="9"/>
      <c r="AT370" s="9"/>
      <c r="AU370" s="9"/>
      <c r="AV370" s="9"/>
      <c r="AW370" s="9"/>
      <c r="AX370" s="9"/>
    </row>
    <row r="371" spans="1:50" ht="15.75" customHeight="1" x14ac:dyDescent="0.2">
      <c r="A371" s="18"/>
      <c r="B371" s="103" t="s">
        <v>131</v>
      </c>
      <c r="C371" s="103">
        <f t="shared" ref="C371:AM371" si="280">C373-C379</f>
        <v>1994960</v>
      </c>
      <c r="D371" s="77">
        <f t="shared" si="280"/>
        <v>-333561.58999999985</v>
      </c>
      <c r="E371" s="77">
        <f t="shared" si="280"/>
        <v>-332039.89000000013</v>
      </c>
      <c r="F371" s="77">
        <f t="shared" si="280"/>
        <v>25196.494583332911</v>
      </c>
      <c r="G371" s="77">
        <f t="shared" si="280"/>
        <v>7.4738785158842802E-2</v>
      </c>
      <c r="H371" s="77">
        <f t="shared" si="280"/>
        <v>27739.600655072369</v>
      </c>
      <c r="I371" s="77">
        <f t="shared" si="280"/>
        <v>-1545403.5327972299</v>
      </c>
      <c r="J371" s="77">
        <f t="shared" si="280"/>
        <v>-1695679.3082709734</v>
      </c>
      <c r="K371" s="77">
        <f t="shared" si="280"/>
        <v>-1845354.9287216305</v>
      </c>
      <c r="L371" s="77">
        <f t="shared" si="280"/>
        <v>-1995031.7388264006</v>
      </c>
      <c r="M371" s="77">
        <f t="shared" si="280"/>
        <v>-2144409.2760589379</v>
      </c>
      <c r="N371" s="77">
        <f t="shared" si="280"/>
        <v>-2303973.785443305</v>
      </c>
      <c r="O371" s="77">
        <f t="shared" si="280"/>
        <v>-2654816.024312343</v>
      </c>
      <c r="P371" s="77">
        <f t="shared" si="280"/>
        <v>-2525919.7335149245</v>
      </c>
      <c r="Q371" s="77">
        <f t="shared" si="280"/>
        <v>-2601757.4927735631</v>
      </c>
      <c r="R371" s="77">
        <f t="shared" si="280"/>
        <v>-2801164.7788992091</v>
      </c>
      <c r="S371" s="77">
        <f t="shared" si="280"/>
        <v>-2950549.0758425156</v>
      </c>
      <c r="T371" s="77">
        <f t="shared" si="280"/>
        <v>-3099933.3727858206</v>
      </c>
      <c r="U371" s="77">
        <f t="shared" si="280"/>
        <v>-3249317.6697291275</v>
      </c>
      <c r="V371" s="77">
        <f t="shared" si="280"/>
        <v>-3398701.9666724326</v>
      </c>
      <c r="W371" s="77">
        <f t="shared" si="280"/>
        <v>-3546534.2936157375</v>
      </c>
      <c r="X371" s="77">
        <f t="shared" si="280"/>
        <v>-3695918.5905590421</v>
      </c>
      <c r="Y371" s="77">
        <f t="shared" si="280"/>
        <v>-3845302.8875023471</v>
      </c>
      <c r="Z371" s="77">
        <f t="shared" si="280"/>
        <v>-4004874.9810795509</v>
      </c>
      <c r="AA371" s="273">
        <f t="shared" si="280"/>
        <v>-4355722.938118129</v>
      </c>
      <c r="AB371" s="77">
        <f t="shared" si="280"/>
        <v>-4176826.6473207115</v>
      </c>
      <c r="AC371" s="77">
        <f t="shared" si="280"/>
        <v>-4250864.4065793492</v>
      </c>
      <c r="AD371" s="77">
        <f t="shared" si="280"/>
        <v>-4452071.6927049961</v>
      </c>
      <c r="AE371" s="77">
        <f t="shared" si="280"/>
        <v>-4601455.9896483002</v>
      </c>
      <c r="AF371" s="77">
        <f t="shared" si="280"/>
        <v>-4750840.2865916053</v>
      </c>
      <c r="AG371" s="77">
        <f t="shared" si="280"/>
        <v>-4900224.5835349122</v>
      </c>
      <c r="AH371" s="77">
        <f t="shared" si="280"/>
        <v>-5049608.8804782201</v>
      </c>
      <c r="AI371" s="77">
        <f t="shared" si="280"/>
        <v>-5198993.1774215251</v>
      </c>
      <c r="AJ371" s="77">
        <f t="shared" si="280"/>
        <v>-5348377.4743648283</v>
      </c>
      <c r="AK371" s="77">
        <f t="shared" si="280"/>
        <v>-5497761.7713081334</v>
      </c>
      <c r="AL371" s="77">
        <f t="shared" si="280"/>
        <v>-5657333.6348853372</v>
      </c>
      <c r="AM371" s="77">
        <f t="shared" si="280"/>
        <v>-6008181.9220995549</v>
      </c>
      <c r="AN371" s="364"/>
      <c r="AO371" s="9"/>
      <c r="AP371" s="9"/>
      <c r="AQ371" s="9"/>
      <c r="AR371" s="9"/>
      <c r="AS371" s="9"/>
      <c r="AT371" s="9"/>
      <c r="AU371" s="9"/>
      <c r="AV371" s="9"/>
      <c r="AW371" s="9"/>
      <c r="AX371" s="9"/>
    </row>
    <row r="372" spans="1:50" ht="15.75" customHeight="1" outlineLevel="1" x14ac:dyDescent="0.2">
      <c r="A372" s="25"/>
      <c r="B372" s="134"/>
      <c r="C372" s="134"/>
      <c r="D372" s="72"/>
      <c r="E372" s="72"/>
      <c r="F372" s="72"/>
      <c r="G372" s="72"/>
      <c r="H372" s="72"/>
      <c r="I372" s="72"/>
      <c r="J372" s="72"/>
      <c r="K372" s="72"/>
      <c r="L372" s="72"/>
      <c r="M372" s="72"/>
      <c r="N372" s="72"/>
      <c r="O372" s="291"/>
      <c r="P372" s="72"/>
      <c r="Q372" s="72"/>
      <c r="R372" s="72"/>
      <c r="S372" s="72"/>
      <c r="T372" s="72"/>
      <c r="U372" s="72"/>
      <c r="V372" s="72"/>
      <c r="W372" s="72"/>
      <c r="X372" s="72"/>
      <c r="Y372" s="72"/>
      <c r="Z372" s="72"/>
      <c r="AA372" s="291"/>
      <c r="AB372" s="72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364"/>
      <c r="AO372" s="9"/>
      <c r="AP372" s="9"/>
      <c r="AQ372" s="9"/>
      <c r="AR372" s="9"/>
      <c r="AS372" s="9"/>
      <c r="AT372" s="9"/>
      <c r="AU372" s="9"/>
      <c r="AV372" s="9"/>
      <c r="AW372" s="9"/>
      <c r="AX372" s="9"/>
    </row>
    <row r="373" spans="1:50" ht="15.75" customHeight="1" outlineLevel="1" x14ac:dyDescent="0.2">
      <c r="A373" s="18"/>
      <c r="B373" s="135" t="s">
        <v>132</v>
      </c>
      <c r="C373" s="136">
        <f t="shared" ref="C373:AM373" si="281">SUM(C374:C377)</f>
        <v>1994960</v>
      </c>
      <c r="D373" s="136">
        <f t="shared" si="281"/>
        <v>1870996.7420000001</v>
      </c>
      <c r="E373" s="136">
        <f t="shared" si="281"/>
        <v>1457589.2200500001</v>
      </c>
      <c r="F373" s="136">
        <f t="shared" si="281"/>
        <v>2015677.5528332293</v>
      </c>
      <c r="G373" s="136">
        <f t="shared" si="281"/>
        <v>3420636.4656030722</v>
      </c>
      <c r="H373" s="136">
        <f t="shared" si="281"/>
        <v>3283583.7600533711</v>
      </c>
      <c r="I373" s="136">
        <f t="shared" si="281"/>
        <v>1824279.905806846</v>
      </c>
      <c r="J373" s="136">
        <f t="shared" si="281"/>
        <v>1687844.0515603211</v>
      </c>
      <c r="K373" s="136">
        <f t="shared" si="281"/>
        <v>1552008.1973137958</v>
      </c>
      <c r="L373" s="136">
        <f t="shared" si="281"/>
        <v>1416172.3430672707</v>
      </c>
      <c r="M373" s="136">
        <f t="shared" si="281"/>
        <v>1280636.4888207456</v>
      </c>
      <c r="N373" s="136">
        <f t="shared" si="281"/>
        <v>1157996.1907279151</v>
      </c>
      <c r="O373" s="136">
        <f t="shared" si="281"/>
        <v>1256242.6740071638</v>
      </c>
      <c r="P373" s="136">
        <f t="shared" si="281"/>
        <v>1569835.9544468138</v>
      </c>
      <c r="Q373" s="136">
        <f t="shared" si="281"/>
        <v>1306622.044951472</v>
      </c>
      <c r="R373" s="136">
        <f t="shared" si="281"/>
        <v>1473659.2483259109</v>
      </c>
      <c r="S373" s="136">
        <f t="shared" si="281"/>
        <v>1425756.7274127193</v>
      </c>
      <c r="T373" s="136">
        <f t="shared" si="281"/>
        <v>1377854.8964995274</v>
      </c>
      <c r="U373" s="136">
        <f t="shared" si="281"/>
        <v>1329952.3755863355</v>
      </c>
      <c r="V373" s="136">
        <f t="shared" si="281"/>
        <v>1283725.8546731437</v>
      </c>
      <c r="W373" s="136">
        <f t="shared" si="281"/>
        <v>1248333.3337599519</v>
      </c>
      <c r="X373" s="136">
        <f t="shared" si="281"/>
        <v>1212940.81284676</v>
      </c>
      <c r="Y373" s="136">
        <f t="shared" si="281"/>
        <v>1183451.7019335683</v>
      </c>
      <c r="Z373" s="136">
        <f t="shared" si="281"/>
        <v>1338448.0071740714</v>
      </c>
      <c r="AA373" s="319">
        <f t="shared" si="281"/>
        <v>2094828.0937866538</v>
      </c>
      <c r="AB373" s="136">
        <f t="shared" si="281"/>
        <v>2574722.5642263037</v>
      </c>
      <c r="AC373" s="136">
        <f t="shared" si="281"/>
        <v>2429608.9247309621</v>
      </c>
      <c r="AD373" s="136">
        <f t="shared" si="281"/>
        <v>2711146.3981054006</v>
      </c>
      <c r="AE373" s="136">
        <f t="shared" si="281"/>
        <v>2779544.147192209</v>
      </c>
      <c r="AF373" s="136">
        <f t="shared" si="281"/>
        <v>2847941.8962790174</v>
      </c>
      <c r="AG373" s="136">
        <f t="shared" si="281"/>
        <v>2916339.6453658259</v>
      </c>
      <c r="AH373" s="136">
        <f t="shared" si="281"/>
        <v>2984737.3944526338</v>
      </c>
      <c r="AI373" s="136">
        <f t="shared" si="281"/>
        <v>3053135.1435394417</v>
      </c>
      <c r="AJ373" s="136">
        <f t="shared" si="281"/>
        <v>3121532.8926262502</v>
      </c>
      <c r="AK373" s="136">
        <f t="shared" si="281"/>
        <v>3189930.6417130586</v>
      </c>
      <c r="AL373" s="136">
        <f t="shared" si="281"/>
        <v>3296732.9469535612</v>
      </c>
      <c r="AM373" s="136">
        <f t="shared" si="281"/>
        <v>4005469.0335661434</v>
      </c>
      <c r="AN373" s="365"/>
      <c r="AO373" s="9"/>
      <c r="AP373" s="9"/>
      <c r="AQ373" s="9"/>
      <c r="AR373" s="9"/>
      <c r="AS373" s="9"/>
      <c r="AT373" s="9"/>
      <c r="AU373" s="9"/>
      <c r="AV373" s="9"/>
      <c r="AW373" s="9"/>
      <c r="AX373" s="9"/>
    </row>
    <row r="374" spans="1:50" ht="15.75" customHeight="1" outlineLevel="1" x14ac:dyDescent="0.2">
      <c r="A374" s="1"/>
      <c r="B374" s="188" t="s">
        <v>133</v>
      </c>
      <c r="C374" s="51">
        <v>0</v>
      </c>
      <c r="D374" s="51">
        <f>C374</f>
        <v>0</v>
      </c>
      <c r="E374" s="51"/>
      <c r="F374" s="51"/>
      <c r="G374" s="51"/>
      <c r="H374" s="51"/>
      <c r="I374" s="51"/>
      <c r="J374" s="51"/>
      <c r="K374" s="51"/>
      <c r="L374" s="51"/>
      <c r="M374" s="51"/>
      <c r="N374" s="51"/>
      <c r="O374" s="278"/>
      <c r="P374" s="51"/>
      <c r="Q374" s="51"/>
      <c r="R374" s="51"/>
      <c r="S374" s="51"/>
      <c r="T374" s="51"/>
      <c r="U374" s="51"/>
      <c r="V374" s="51"/>
      <c r="W374" s="51"/>
      <c r="X374" s="51"/>
      <c r="Y374" s="51"/>
      <c r="Z374" s="51"/>
      <c r="AA374" s="278"/>
      <c r="AB374" s="51"/>
      <c r="AC374" s="51"/>
      <c r="AD374" s="51"/>
      <c r="AE374" s="51"/>
      <c r="AF374" s="51"/>
      <c r="AG374" s="51"/>
      <c r="AH374" s="51"/>
      <c r="AI374" s="51"/>
      <c r="AJ374" s="51"/>
      <c r="AK374" s="51"/>
      <c r="AL374" s="51"/>
      <c r="AM374" s="51"/>
      <c r="AN374" s="373"/>
      <c r="AO374" s="9"/>
      <c r="AP374" s="9"/>
      <c r="AQ374" s="9"/>
      <c r="AR374" s="9"/>
      <c r="AS374" s="9"/>
      <c r="AT374" s="9"/>
      <c r="AU374" s="9"/>
      <c r="AV374" s="9"/>
      <c r="AW374" s="9"/>
      <c r="AX374" s="9"/>
    </row>
    <row r="375" spans="1:50" ht="15.75" customHeight="1" outlineLevel="1" x14ac:dyDescent="0.2">
      <c r="A375" s="1"/>
      <c r="B375" s="81" t="s">
        <v>5</v>
      </c>
      <c r="C375" s="158">
        <v>743450</v>
      </c>
      <c r="D375" s="51">
        <f t="shared" ref="D375:AM375" si="282">D367</f>
        <v>95167.741999999969</v>
      </c>
      <c r="E375" s="51">
        <f t="shared" si="282"/>
        <v>35862.220050000149</v>
      </c>
      <c r="F375" s="51">
        <f t="shared" si="282"/>
        <v>610605.55283322942</v>
      </c>
      <c r="G375" s="51">
        <f t="shared" si="282"/>
        <v>1385297.4656030724</v>
      </c>
      <c r="H375" s="51">
        <f t="shared" si="282"/>
        <v>590444.05699667661</v>
      </c>
      <c r="I375" s="51">
        <f t="shared" si="282"/>
        <v>775165.49969345715</v>
      </c>
      <c r="J375" s="51">
        <f t="shared" si="282"/>
        <v>708386.94239023759</v>
      </c>
      <c r="K375" s="51">
        <f t="shared" si="282"/>
        <v>556608.3850870179</v>
      </c>
      <c r="L375" s="51">
        <f t="shared" si="282"/>
        <v>404829.82778379822</v>
      </c>
      <c r="M375" s="51">
        <f t="shared" si="282"/>
        <v>242051.27048057865</v>
      </c>
      <c r="N375" s="51">
        <f t="shared" si="282"/>
        <v>-347230.16403504857</v>
      </c>
      <c r="O375" s="51">
        <f t="shared" si="282"/>
        <v>139322.60645841772</v>
      </c>
      <c r="P375" s="51">
        <f t="shared" si="282"/>
        <v>456596.59610064921</v>
      </c>
      <c r="Q375" s="51">
        <f t="shared" si="282"/>
        <v>86488.445863945526</v>
      </c>
      <c r="R375" s="51">
        <f t="shared" si="282"/>
        <v>277525.93536403053</v>
      </c>
      <c r="S375" s="51">
        <f t="shared" si="282"/>
        <v>200680.71139414422</v>
      </c>
      <c r="T375" s="51">
        <f t="shared" si="282"/>
        <v>123836.17742425791</v>
      </c>
      <c r="U375" s="51">
        <f t="shared" si="282"/>
        <v>46990.953454371542</v>
      </c>
      <c r="V375" s="51">
        <f t="shared" si="282"/>
        <v>-40778.270515514771</v>
      </c>
      <c r="W375" s="51">
        <f t="shared" si="282"/>
        <v>-117713.49448540108</v>
      </c>
      <c r="X375" s="51">
        <f t="shared" si="282"/>
        <v>-194648.71845528734</v>
      </c>
      <c r="Y375" s="51">
        <f t="shared" si="282"/>
        <v>-265680.53242517367</v>
      </c>
      <c r="Z375" s="51">
        <f t="shared" si="282"/>
        <v>-577325.36360746739</v>
      </c>
      <c r="AA375" s="278">
        <f t="shared" si="282"/>
        <v>630361.01021933276</v>
      </c>
      <c r="AB375" s="51">
        <f t="shared" si="282"/>
        <v>1101336.1898615642</v>
      </c>
      <c r="AC375" s="51">
        <f t="shared" si="282"/>
        <v>781528.30962486053</v>
      </c>
      <c r="AD375" s="51">
        <f t="shared" si="282"/>
        <v>1142266.0691249454</v>
      </c>
      <c r="AE375" s="51">
        <f t="shared" si="282"/>
        <v>1181721.1151550591</v>
      </c>
      <c r="AF375" s="51">
        <f t="shared" si="282"/>
        <v>1208576.1611851731</v>
      </c>
      <c r="AG375" s="51">
        <f t="shared" si="282"/>
        <v>1235431.2072152868</v>
      </c>
      <c r="AH375" s="51">
        <f t="shared" si="282"/>
        <v>1293786.2532454005</v>
      </c>
      <c r="AI375" s="51">
        <f t="shared" si="282"/>
        <v>1320641.2992755142</v>
      </c>
      <c r="AJ375" s="51">
        <f t="shared" si="282"/>
        <v>1347496.3453056279</v>
      </c>
      <c r="AK375" s="51">
        <f t="shared" si="282"/>
        <v>1374351.3913357414</v>
      </c>
      <c r="AL375" s="51">
        <f t="shared" si="282"/>
        <v>1014512.5601534476</v>
      </c>
      <c r="AM375" s="51">
        <f t="shared" si="282"/>
        <v>2048554.9339802475</v>
      </c>
      <c r="AN375" s="373"/>
      <c r="AO375" s="9"/>
      <c r="AP375" s="9"/>
      <c r="AQ375" s="9"/>
      <c r="AR375" s="9"/>
      <c r="AS375" s="9"/>
      <c r="AT375" s="9"/>
      <c r="AU375" s="9"/>
      <c r="AV375" s="9"/>
      <c r="AW375" s="9"/>
      <c r="AX375" s="9"/>
    </row>
    <row r="376" spans="1:50" ht="15.75" customHeight="1" outlineLevel="1" x14ac:dyDescent="0.2">
      <c r="A376" s="1"/>
      <c r="B376" s="81" t="s">
        <v>108</v>
      </c>
      <c r="C376" s="51">
        <f>D260+D275+D290</f>
        <v>1251510</v>
      </c>
      <c r="D376" s="51">
        <f t="shared" ref="D376:AM376" si="283">D269+D284+D299+D314</f>
        <v>1303829</v>
      </c>
      <c r="E376" s="51">
        <f t="shared" si="283"/>
        <v>1009427</v>
      </c>
      <c r="F376" s="51">
        <f t="shared" si="283"/>
        <v>873058</v>
      </c>
      <c r="G376" s="51">
        <f t="shared" si="283"/>
        <v>602485</v>
      </c>
      <c r="H376" s="51">
        <f t="shared" si="283"/>
        <v>799171.70305669447</v>
      </c>
      <c r="I376" s="51">
        <f t="shared" si="283"/>
        <v>577114.40611338895</v>
      </c>
      <c r="J376" s="51">
        <f t="shared" si="283"/>
        <v>507457.10917008348</v>
      </c>
      <c r="K376" s="51">
        <f t="shared" si="283"/>
        <v>523399.81222677795</v>
      </c>
      <c r="L376" s="51">
        <f t="shared" si="283"/>
        <v>539342.51528347249</v>
      </c>
      <c r="M376" s="51">
        <f t="shared" si="283"/>
        <v>566585.21834016696</v>
      </c>
      <c r="N376" s="51">
        <f t="shared" si="283"/>
        <v>1033226.3547629637</v>
      </c>
      <c r="O376" s="51">
        <f t="shared" si="283"/>
        <v>644920.06754874613</v>
      </c>
      <c r="P376" s="51">
        <f t="shared" si="283"/>
        <v>641239.35834616458</v>
      </c>
      <c r="Q376" s="51">
        <f t="shared" si="283"/>
        <v>748133.59908752644</v>
      </c>
      <c r="R376" s="51">
        <f t="shared" si="283"/>
        <v>724133.31296188047</v>
      </c>
      <c r="S376" s="51">
        <f t="shared" si="283"/>
        <v>753076.01601857494</v>
      </c>
      <c r="T376" s="51">
        <f t="shared" si="283"/>
        <v>782018.71907526942</v>
      </c>
      <c r="U376" s="51">
        <f t="shared" si="283"/>
        <v>810961.42213196389</v>
      </c>
      <c r="V376" s="51">
        <f t="shared" si="283"/>
        <v>852504.12518865848</v>
      </c>
      <c r="W376" s="51">
        <f t="shared" si="283"/>
        <v>894046.82824535295</v>
      </c>
      <c r="X376" s="51">
        <f t="shared" si="283"/>
        <v>935589.53130204743</v>
      </c>
      <c r="Y376" s="51">
        <f t="shared" si="283"/>
        <v>977132.2343587419</v>
      </c>
      <c r="Z376" s="51">
        <f t="shared" si="283"/>
        <v>1443773.3707815388</v>
      </c>
      <c r="AA376" s="278">
        <f t="shared" si="283"/>
        <v>992467.08356732107</v>
      </c>
      <c r="AB376" s="51">
        <f t="shared" si="283"/>
        <v>1001386.3743647395</v>
      </c>
      <c r="AC376" s="51">
        <f t="shared" si="283"/>
        <v>1176080.6151061014</v>
      </c>
      <c r="AD376" s="51">
        <f t="shared" si="283"/>
        <v>1096880.3289804554</v>
      </c>
      <c r="AE376" s="51">
        <f t="shared" si="283"/>
        <v>1125823.0320371499</v>
      </c>
      <c r="AF376" s="51">
        <f t="shared" si="283"/>
        <v>1167365.7350938444</v>
      </c>
      <c r="AG376" s="51">
        <f t="shared" si="283"/>
        <v>1208908.4381505388</v>
      </c>
      <c r="AH376" s="51">
        <f t="shared" si="283"/>
        <v>1218951.1412072333</v>
      </c>
      <c r="AI376" s="51">
        <f t="shared" si="283"/>
        <v>1260493.8442639278</v>
      </c>
      <c r="AJ376" s="51">
        <f t="shared" si="283"/>
        <v>1302036.5473206225</v>
      </c>
      <c r="AK376" s="51">
        <f t="shared" si="283"/>
        <v>1343579.250377317</v>
      </c>
      <c r="AL376" s="51">
        <f t="shared" si="283"/>
        <v>1810220.3868001136</v>
      </c>
      <c r="AM376" s="51">
        <f t="shared" si="283"/>
        <v>1484914.0995858961</v>
      </c>
      <c r="AN376" s="373"/>
      <c r="AO376" s="9"/>
      <c r="AP376" s="9"/>
      <c r="AQ376" s="9"/>
      <c r="AR376" s="9"/>
      <c r="AS376" s="9"/>
      <c r="AT376" s="9"/>
      <c r="AU376" s="9"/>
      <c r="AV376" s="9"/>
      <c r="AW376" s="9"/>
      <c r="AX376" s="9"/>
    </row>
    <row r="377" spans="1:50" ht="15.75" customHeight="1" outlineLevel="1" x14ac:dyDescent="0.2">
      <c r="A377" s="1"/>
      <c r="B377" s="188" t="s">
        <v>134</v>
      </c>
      <c r="C377" s="51">
        <f>C322+C328</f>
        <v>0</v>
      </c>
      <c r="D377" s="158">
        <v>472000</v>
      </c>
      <c r="E377" s="158">
        <v>412300</v>
      </c>
      <c r="F377" s="158">
        <v>532014</v>
      </c>
      <c r="G377" s="158">
        <f>472000+960854</f>
        <v>1432854</v>
      </c>
      <c r="H377" s="158">
        <f>472000+1421968</f>
        <v>1893968</v>
      </c>
      <c r="I377" s="158">
        <v>472000</v>
      </c>
      <c r="J377" s="158">
        <v>472000</v>
      </c>
      <c r="K377" s="158">
        <v>472000</v>
      </c>
      <c r="L377" s="158">
        <v>472000</v>
      </c>
      <c r="M377" s="158">
        <v>472000</v>
      </c>
      <c r="N377" s="158">
        <v>472000</v>
      </c>
      <c r="O377" s="158">
        <v>472000</v>
      </c>
      <c r="P377" s="158">
        <v>472000</v>
      </c>
      <c r="Q377" s="158">
        <v>472000</v>
      </c>
      <c r="R377" s="158">
        <v>472000</v>
      </c>
      <c r="S377" s="158">
        <v>472000</v>
      </c>
      <c r="T377" s="158">
        <v>472000</v>
      </c>
      <c r="U377" s="158">
        <v>472000</v>
      </c>
      <c r="V377" s="158">
        <v>472000</v>
      </c>
      <c r="W377" s="158">
        <v>472000</v>
      </c>
      <c r="X377" s="158">
        <v>472000</v>
      </c>
      <c r="Y377" s="158">
        <v>472000</v>
      </c>
      <c r="Z377" s="158">
        <v>472000</v>
      </c>
      <c r="AA377" s="287">
        <v>472000</v>
      </c>
      <c r="AB377" s="158">
        <v>472000</v>
      </c>
      <c r="AC377" s="158">
        <v>472000</v>
      </c>
      <c r="AD377" s="158">
        <v>472000</v>
      </c>
      <c r="AE377" s="158">
        <v>472000</v>
      </c>
      <c r="AF377" s="158">
        <v>472000</v>
      </c>
      <c r="AG377" s="158">
        <v>472000</v>
      </c>
      <c r="AH377" s="158">
        <v>472000</v>
      </c>
      <c r="AI377" s="158">
        <v>472000</v>
      </c>
      <c r="AJ377" s="158">
        <v>472000</v>
      </c>
      <c r="AK377" s="158">
        <v>472000</v>
      </c>
      <c r="AL377" s="158">
        <v>472000</v>
      </c>
      <c r="AM377" s="158">
        <v>472000</v>
      </c>
      <c r="AN377" s="373"/>
      <c r="AO377" s="9"/>
      <c r="AP377" s="9"/>
      <c r="AQ377" s="9"/>
      <c r="AR377" s="9"/>
      <c r="AS377" s="9"/>
      <c r="AT377" s="9"/>
      <c r="AU377" s="9"/>
      <c r="AV377" s="9"/>
      <c r="AW377" s="9"/>
      <c r="AX377" s="9"/>
    </row>
    <row r="378" spans="1:50" ht="15.75" customHeight="1" outlineLevel="1" x14ac:dyDescent="0.2">
      <c r="A378" s="1"/>
      <c r="B378" s="81"/>
      <c r="C378" s="22"/>
      <c r="D378" s="22"/>
      <c r="E378" s="22"/>
      <c r="F378" s="22"/>
      <c r="G378" s="22"/>
      <c r="H378" s="22"/>
      <c r="I378" s="22"/>
      <c r="J378" s="22"/>
      <c r="K378" s="22"/>
      <c r="L378" s="22"/>
      <c r="M378" s="22"/>
      <c r="N378" s="22"/>
      <c r="O378" s="266"/>
      <c r="P378" s="22"/>
      <c r="Q378" s="22"/>
      <c r="R378" s="22"/>
      <c r="S378" s="22"/>
      <c r="T378" s="22"/>
      <c r="U378" s="22"/>
      <c r="V378" s="22"/>
      <c r="W378" s="22"/>
      <c r="X378" s="22"/>
      <c r="Y378" s="22"/>
      <c r="Z378" s="22"/>
      <c r="AA378" s="266"/>
      <c r="AB378" s="22"/>
      <c r="AC378" s="22"/>
      <c r="AD378" s="22"/>
      <c r="AE378" s="22"/>
      <c r="AF378" s="22"/>
      <c r="AG378" s="22"/>
      <c r="AH378" s="22"/>
      <c r="AI378" s="22"/>
      <c r="AJ378" s="22"/>
      <c r="AK378" s="22"/>
      <c r="AL378" s="22"/>
      <c r="AM378" s="22"/>
      <c r="AN378" s="373"/>
      <c r="AO378" s="9"/>
      <c r="AP378" s="9"/>
      <c r="AQ378" s="9"/>
      <c r="AR378" s="9"/>
      <c r="AS378" s="9"/>
      <c r="AT378" s="9"/>
      <c r="AU378" s="9"/>
      <c r="AV378" s="9"/>
      <c r="AW378" s="9"/>
      <c r="AX378" s="9"/>
    </row>
    <row r="379" spans="1:50" ht="15.75" customHeight="1" outlineLevel="1" x14ac:dyDescent="0.2">
      <c r="A379" s="18"/>
      <c r="B379" s="135" t="s">
        <v>135</v>
      </c>
      <c r="C379" s="136">
        <f t="shared" ref="C379:AM379" si="284">C381+C386</f>
        <v>0</v>
      </c>
      <c r="D379" s="136">
        <f t="shared" si="284"/>
        <v>2204558.3319999999</v>
      </c>
      <c r="E379" s="136">
        <f t="shared" si="284"/>
        <v>1789629.1100500003</v>
      </c>
      <c r="F379" s="136">
        <f t="shared" si="284"/>
        <v>1990481.0582498964</v>
      </c>
      <c r="G379" s="136">
        <f t="shared" si="284"/>
        <v>3420636.390864287</v>
      </c>
      <c r="H379" s="136">
        <f t="shared" si="284"/>
        <v>3255844.1593982987</v>
      </c>
      <c r="I379" s="136">
        <f t="shared" si="284"/>
        <v>3369683.4386040759</v>
      </c>
      <c r="J379" s="136">
        <f t="shared" si="284"/>
        <v>3383523.3598312945</v>
      </c>
      <c r="K379" s="136">
        <f t="shared" si="284"/>
        <v>3397363.1260354263</v>
      </c>
      <c r="L379" s="136">
        <f t="shared" si="284"/>
        <v>3411204.0818936713</v>
      </c>
      <c r="M379" s="136">
        <f t="shared" si="284"/>
        <v>3425045.7648796835</v>
      </c>
      <c r="N379" s="136">
        <f t="shared" si="284"/>
        <v>3461969.9761712202</v>
      </c>
      <c r="O379" s="136">
        <f t="shared" si="284"/>
        <v>3911058.6983195068</v>
      </c>
      <c r="P379" s="136">
        <f t="shared" si="284"/>
        <v>4095755.6879617386</v>
      </c>
      <c r="Q379" s="136">
        <f t="shared" si="284"/>
        <v>3908379.5377250351</v>
      </c>
      <c r="R379" s="136">
        <f t="shared" si="284"/>
        <v>4274824.02722512</v>
      </c>
      <c r="S379" s="136">
        <f t="shared" si="284"/>
        <v>4376305.8032552348</v>
      </c>
      <c r="T379" s="136">
        <f t="shared" si="284"/>
        <v>4477788.2692853482</v>
      </c>
      <c r="U379" s="136">
        <f t="shared" si="284"/>
        <v>4579270.0453154631</v>
      </c>
      <c r="V379" s="136">
        <f t="shared" si="284"/>
        <v>4682427.8213455761</v>
      </c>
      <c r="W379" s="136">
        <f t="shared" si="284"/>
        <v>4794867.6273756893</v>
      </c>
      <c r="X379" s="136">
        <f t="shared" si="284"/>
        <v>4908859.4034058023</v>
      </c>
      <c r="Y379" s="136">
        <f t="shared" si="284"/>
        <v>5028754.5894359155</v>
      </c>
      <c r="Z379" s="136">
        <f t="shared" si="284"/>
        <v>5343322.9882536223</v>
      </c>
      <c r="AA379" s="319">
        <f t="shared" si="284"/>
        <v>6450551.0319047831</v>
      </c>
      <c r="AB379" s="136">
        <f t="shared" si="284"/>
        <v>6751549.2115470152</v>
      </c>
      <c r="AC379" s="136">
        <f t="shared" si="284"/>
        <v>6680473.3313103113</v>
      </c>
      <c r="AD379" s="136">
        <f t="shared" si="284"/>
        <v>7163218.0908103967</v>
      </c>
      <c r="AE379" s="136">
        <f t="shared" si="284"/>
        <v>7381000.1368405093</v>
      </c>
      <c r="AF379" s="136">
        <f t="shared" si="284"/>
        <v>7598782.1828706227</v>
      </c>
      <c r="AG379" s="136">
        <f t="shared" si="284"/>
        <v>7816564.2289007381</v>
      </c>
      <c r="AH379" s="136">
        <f t="shared" si="284"/>
        <v>8034346.2749308534</v>
      </c>
      <c r="AI379" s="136">
        <f t="shared" si="284"/>
        <v>8252128.3209609669</v>
      </c>
      <c r="AJ379" s="136">
        <f t="shared" si="284"/>
        <v>8469910.3669910785</v>
      </c>
      <c r="AK379" s="136">
        <f t="shared" si="284"/>
        <v>8687692.413021192</v>
      </c>
      <c r="AL379" s="136">
        <f t="shared" si="284"/>
        <v>8954066.5818388984</v>
      </c>
      <c r="AM379" s="136">
        <f t="shared" si="284"/>
        <v>10013650.955665698</v>
      </c>
      <c r="AN379" s="365"/>
      <c r="AO379" s="9"/>
      <c r="AP379" s="9"/>
      <c r="AQ379" s="9"/>
      <c r="AR379" s="9"/>
      <c r="AS379" s="9"/>
      <c r="AT379" s="9"/>
      <c r="AU379" s="9"/>
      <c r="AV379" s="9"/>
      <c r="AW379" s="9"/>
      <c r="AX379" s="9"/>
    </row>
    <row r="380" spans="1:50" ht="15.75" customHeight="1" outlineLevel="1" x14ac:dyDescent="0.2">
      <c r="A380" s="1"/>
      <c r="B380" s="81"/>
      <c r="C380" s="22"/>
      <c r="D380" s="22"/>
      <c r="E380" s="22"/>
      <c r="F380" s="22"/>
      <c r="G380" s="22"/>
      <c r="H380" s="22"/>
      <c r="I380" s="22"/>
      <c r="J380" s="22"/>
      <c r="K380" s="22"/>
      <c r="L380" s="22"/>
      <c r="M380" s="22"/>
      <c r="N380" s="22"/>
      <c r="O380" s="266"/>
      <c r="P380" s="22"/>
      <c r="Q380" s="22"/>
      <c r="R380" s="22"/>
      <c r="S380" s="22"/>
      <c r="T380" s="22"/>
      <c r="U380" s="22"/>
      <c r="V380" s="22"/>
      <c r="W380" s="22"/>
      <c r="X380" s="22"/>
      <c r="Y380" s="22"/>
      <c r="Z380" s="22"/>
      <c r="AA380" s="266"/>
      <c r="AB380" s="22"/>
      <c r="AC380" s="22"/>
      <c r="AD380" s="22"/>
      <c r="AE380" s="22"/>
      <c r="AF380" s="22"/>
      <c r="AG380" s="22"/>
      <c r="AH380" s="22"/>
      <c r="AI380" s="22"/>
      <c r="AJ380" s="22"/>
      <c r="AK380" s="22"/>
      <c r="AL380" s="22"/>
      <c r="AM380" s="22"/>
      <c r="AN380" s="373"/>
      <c r="AO380" s="9"/>
      <c r="AP380" s="9"/>
      <c r="AQ380" s="9"/>
      <c r="AR380" s="9"/>
      <c r="AS380" s="9"/>
      <c r="AT380" s="9"/>
      <c r="AU380" s="9"/>
      <c r="AV380" s="9"/>
      <c r="AW380" s="9"/>
      <c r="AX380" s="9"/>
    </row>
    <row r="381" spans="1:50" ht="15.75" customHeight="1" outlineLevel="1" x14ac:dyDescent="0.2">
      <c r="A381" s="189"/>
      <c r="B381" s="190" t="s">
        <v>136</v>
      </c>
      <c r="C381" s="191">
        <f t="shared" ref="C381:AM381" si="285">SUM(C382:C384)</f>
        <v>0</v>
      </c>
      <c r="D381" s="191">
        <f t="shared" si="285"/>
        <v>-1961519.6680000001</v>
      </c>
      <c r="E381" s="191">
        <f t="shared" si="285"/>
        <v>-2416333.6311999997</v>
      </c>
      <c r="F381" s="191">
        <f t="shared" si="285"/>
        <v>-2225157.4733999996</v>
      </c>
      <c r="G381" s="191">
        <f t="shared" si="285"/>
        <v>-2401127.2160183932</v>
      </c>
      <c r="H381" s="191">
        <f t="shared" si="285"/>
        <v>-2020926.8283595692</v>
      </c>
      <c r="I381" s="191">
        <f t="shared" si="285"/>
        <v>-1773325.0450141313</v>
      </c>
      <c r="J381" s="191">
        <f t="shared" si="285"/>
        <v>-1619862.1335845157</v>
      </c>
      <c r="K381" s="191">
        <f t="shared" si="285"/>
        <v>-1385881.8773922971</v>
      </c>
      <c r="L381" s="191">
        <f t="shared" si="285"/>
        <v>-1147260.875107578</v>
      </c>
      <c r="M381" s="191">
        <f t="shared" si="285"/>
        <v>-903532.72201836808</v>
      </c>
      <c r="N381" s="191">
        <f t="shared" si="285"/>
        <v>-607381.97559769172</v>
      </c>
      <c r="O381" s="191">
        <f t="shared" si="285"/>
        <v>483601.84077054076</v>
      </c>
      <c r="P381" s="191">
        <f t="shared" si="285"/>
        <v>833194.11480649095</v>
      </c>
      <c r="Q381" s="191">
        <f t="shared" si="285"/>
        <v>813696.10196306743</v>
      </c>
      <c r="R381" s="191">
        <f t="shared" si="285"/>
        <v>1351062.2506282935</v>
      </c>
      <c r="S381" s="191">
        <f t="shared" si="285"/>
        <v>1626570.1885743793</v>
      </c>
      <c r="T381" s="191">
        <f t="shared" si="285"/>
        <v>1905244.854846146</v>
      </c>
      <c r="U381" s="191">
        <f t="shared" si="285"/>
        <v>2187149.7823355887</v>
      </c>
      <c r="V381" s="191">
        <f t="shared" si="285"/>
        <v>2472349.8043142166</v>
      </c>
      <c r="W381" s="191">
        <f t="shared" si="285"/>
        <v>2760961.0878458619</v>
      </c>
      <c r="X381" s="191">
        <f t="shared" si="285"/>
        <v>3053001.1875594724</v>
      </c>
      <c r="Y381" s="191">
        <f t="shared" si="285"/>
        <v>3348539.049791744</v>
      </c>
      <c r="Z381" s="191">
        <f t="shared" si="285"/>
        <v>3696128.5298972912</v>
      </c>
      <c r="AA381" s="374">
        <f t="shared" si="285"/>
        <v>4835351.4717713222</v>
      </c>
      <c r="AB381" s="191">
        <f t="shared" si="285"/>
        <v>5169089.6741563901</v>
      </c>
      <c r="AC381" s="191">
        <f t="shared" si="285"/>
        <v>5131517.0872091129</v>
      </c>
      <c r="AD381" s="191">
        <f t="shared" si="285"/>
        <v>5648546.6634971891</v>
      </c>
      <c r="AE381" s="191">
        <f t="shared" si="285"/>
        <v>5901413.7508732714</v>
      </c>
      <c r="AF381" s="191">
        <f t="shared" si="285"/>
        <v>6155100.2232647277</v>
      </c>
      <c r="AG381" s="191">
        <f t="shared" si="285"/>
        <v>6409625.7121090703</v>
      </c>
      <c r="AH381" s="191">
        <f t="shared" si="285"/>
        <v>6665010.3317053542</v>
      </c>
      <c r="AI381" s="191">
        <f t="shared" si="285"/>
        <v>6921274.691402819</v>
      </c>
      <c r="AJ381" s="191">
        <f t="shared" si="285"/>
        <v>7178439.9081048556</v>
      </c>
      <c r="AK381" s="191">
        <f t="shared" si="285"/>
        <v>7436527.6190966517</v>
      </c>
      <c r="AL381" s="191">
        <f t="shared" si="285"/>
        <v>7744152.1179926619</v>
      </c>
      <c r="AM381" s="191">
        <f t="shared" si="285"/>
        <v>8843598.2048838474</v>
      </c>
      <c r="AN381" s="375"/>
      <c r="AO381" s="9"/>
      <c r="AP381" s="9"/>
      <c r="AQ381" s="9"/>
      <c r="AR381" s="9"/>
      <c r="AS381" s="9"/>
      <c r="AT381" s="9"/>
      <c r="AU381" s="9"/>
      <c r="AV381" s="9"/>
      <c r="AW381" s="9"/>
      <c r="AX381" s="9"/>
    </row>
    <row r="382" spans="1:50" ht="15.75" customHeight="1" outlineLevel="1" x14ac:dyDescent="0.2">
      <c r="A382" s="1"/>
      <c r="B382" s="81" t="s">
        <v>137</v>
      </c>
      <c r="C382" s="51"/>
      <c r="D382" s="158">
        <v>-1812077</v>
      </c>
      <c r="E382" s="51">
        <f t="shared" ref="E382:AM382" si="286">-1850425</f>
        <v>-1850425</v>
      </c>
      <c r="F382" s="51">
        <f t="shared" si="286"/>
        <v>-1850425</v>
      </c>
      <c r="G382" s="51">
        <f t="shared" si="286"/>
        <v>-1850425</v>
      </c>
      <c r="H382" s="51">
        <f t="shared" si="286"/>
        <v>-1850425</v>
      </c>
      <c r="I382" s="51">
        <f t="shared" si="286"/>
        <v>-1850425</v>
      </c>
      <c r="J382" s="51">
        <f t="shared" si="286"/>
        <v>-1850425</v>
      </c>
      <c r="K382" s="51">
        <f t="shared" si="286"/>
        <v>-1850425</v>
      </c>
      <c r="L382" s="51">
        <f t="shared" si="286"/>
        <v>-1850425</v>
      </c>
      <c r="M382" s="51">
        <f t="shared" si="286"/>
        <v>-1850425</v>
      </c>
      <c r="N382" s="51">
        <f t="shared" si="286"/>
        <v>-1850425</v>
      </c>
      <c r="O382" s="51">
        <f t="shared" si="286"/>
        <v>-1850425</v>
      </c>
      <c r="P382" s="51">
        <f t="shared" si="286"/>
        <v>-1850425</v>
      </c>
      <c r="Q382" s="51">
        <f t="shared" si="286"/>
        <v>-1850425</v>
      </c>
      <c r="R382" s="51">
        <f t="shared" si="286"/>
        <v>-1850425</v>
      </c>
      <c r="S382" s="51">
        <f t="shared" si="286"/>
        <v>-1850425</v>
      </c>
      <c r="T382" s="51">
        <f t="shared" si="286"/>
        <v>-1850425</v>
      </c>
      <c r="U382" s="51">
        <f t="shared" si="286"/>
        <v>-1850425</v>
      </c>
      <c r="V382" s="51">
        <f t="shared" si="286"/>
        <v>-1850425</v>
      </c>
      <c r="W382" s="51">
        <f t="shared" si="286"/>
        <v>-1850425</v>
      </c>
      <c r="X382" s="51">
        <f t="shared" si="286"/>
        <v>-1850425</v>
      </c>
      <c r="Y382" s="51">
        <f t="shared" si="286"/>
        <v>-1850425</v>
      </c>
      <c r="Z382" s="51">
        <f t="shared" si="286"/>
        <v>-1850425</v>
      </c>
      <c r="AA382" s="278">
        <f t="shared" si="286"/>
        <v>-1850425</v>
      </c>
      <c r="AB382" s="51">
        <f t="shared" si="286"/>
        <v>-1850425</v>
      </c>
      <c r="AC382" s="51">
        <f t="shared" si="286"/>
        <v>-1850425</v>
      </c>
      <c r="AD382" s="51">
        <f t="shared" si="286"/>
        <v>-1850425</v>
      </c>
      <c r="AE382" s="51">
        <f t="shared" si="286"/>
        <v>-1850425</v>
      </c>
      <c r="AF382" s="51">
        <f t="shared" si="286"/>
        <v>-1850425</v>
      </c>
      <c r="AG382" s="51">
        <f t="shared" si="286"/>
        <v>-1850425</v>
      </c>
      <c r="AH382" s="51">
        <f t="shared" si="286"/>
        <v>-1850425</v>
      </c>
      <c r="AI382" s="51">
        <f t="shared" si="286"/>
        <v>-1850425</v>
      </c>
      <c r="AJ382" s="51">
        <f t="shared" si="286"/>
        <v>-1850425</v>
      </c>
      <c r="AK382" s="51">
        <f t="shared" si="286"/>
        <v>-1850425</v>
      </c>
      <c r="AL382" s="51">
        <f t="shared" si="286"/>
        <v>-1850425</v>
      </c>
      <c r="AM382" s="51">
        <f t="shared" si="286"/>
        <v>-1850425</v>
      </c>
      <c r="AN382" s="373"/>
      <c r="AO382" s="9"/>
      <c r="AP382" s="9"/>
      <c r="AQ382" s="9"/>
      <c r="AR382" s="9"/>
      <c r="AS382" s="9"/>
      <c r="AT382" s="9"/>
      <c r="AU382" s="9"/>
      <c r="AV382" s="9"/>
      <c r="AW382" s="9"/>
      <c r="AX382" s="9"/>
    </row>
    <row r="383" spans="1:50" ht="15.75" customHeight="1" outlineLevel="1" x14ac:dyDescent="0.2">
      <c r="A383" s="1"/>
      <c r="B383" s="81" t="s">
        <v>138</v>
      </c>
      <c r="C383" s="22"/>
      <c r="D383" s="158">
        <f t="shared" ref="D383:AM383" si="287">D146</f>
        <v>333561.70200000016</v>
      </c>
      <c r="E383" s="158">
        <f t="shared" si="287"/>
        <v>177107.77880000032</v>
      </c>
      <c r="F383" s="158">
        <f t="shared" si="287"/>
        <v>607530.93660000048</v>
      </c>
      <c r="G383" s="158">
        <f t="shared" si="287"/>
        <v>631561.19398160698</v>
      </c>
      <c r="H383" s="158">
        <f t="shared" si="287"/>
        <v>1211761.581640431</v>
      </c>
      <c r="I383" s="158">
        <f t="shared" si="287"/>
        <v>1659363.3649858688</v>
      </c>
      <c r="J383" s="158">
        <f t="shared" si="287"/>
        <v>2112826.2764154845</v>
      </c>
      <c r="K383" s="158">
        <f t="shared" si="287"/>
        <v>2646806.532607703</v>
      </c>
      <c r="L383" s="158">
        <f t="shared" si="287"/>
        <v>3185427.5348924221</v>
      </c>
      <c r="M383" s="158">
        <f t="shared" si="287"/>
        <v>3729155.6879816321</v>
      </c>
      <c r="N383" s="158">
        <f t="shared" si="287"/>
        <v>4325306.4344023084</v>
      </c>
      <c r="O383" s="158">
        <f t="shared" si="287"/>
        <v>5716290.2507705409</v>
      </c>
      <c r="P383" s="158">
        <f t="shared" si="287"/>
        <v>6365882.5248064911</v>
      </c>
      <c r="Q383" s="158">
        <f t="shared" si="287"/>
        <v>6646384.5119630676</v>
      </c>
      <c r="R383" s="158">
        <f t="shared" si="287"/>
        <v>7483750.6606282936</v>
      </c>
      <c r="S383" s="158">
        <f t="shared" si="287"/>
        <v>8059258.5985743795</v>
      </c>
      <c r="T383" s="158">
        <f t="shared" si="287"/>
        <v>8637933.2648461461</v>
      </c>
      <c r="U383" s="158">
        <f t="shared" si="287"/>
        <v>9219838.1923355889</v>
      </c>
      <c r="V383" s="158">
        <f t="shared" si="287"/>
        <v>9805038.2143142167</v>
      </c>
      <c r="W383" s="158">
        <f t="shared" si="287"/>
        <v>10393649.497845862</v>
      </c>
      <c r="X383" s="158">
        <f t="shared" si="287"/>
        <v>10985689.597559473</v>
      </c>
      <c r="Y383" s="158">
        <f t="shared" si="287"/>
        <v>11581227.459791744</v>
      </c>
      <c r="Z383" s="158">
        <f t="shared" si="287"/>
        <v>12228816.939897291</v>
      </c>
      <c r="AA383" s="287">
        <f t="shared" si="287"/>
        <v>13668039.881771322</v>
      </c>
      <c r="AB383" s="158">
        <f t="shared" si="287"/>
        <v>14351778.08415639</v>
      </c>
      <c r="AC383" s="158">
        <f t="shared" si="287"/>
        <v>14664205.497209113</v>
      </c>
      <c r="AD383" s="158">
        <f t="shared" si="287"/>
        <v>15531235.073497189</v>
      </c>
      <c r="AE383" s="158">
        <f t="shared" si="287"/>
        <v>16134102.160873272</v>
      </c>
      <c r="AF383" s="158">
        <f t="shared" si="287"/>
        <v>16737788.633264728</v>
      </c>
      <c r="AG383" s="158">
        <f t="shared" si="287"/>
        <v>17342314.12210907</v>
      </c>
      <c r="AH383" s="158">
        <f t="shared" si="287"/>
        <v>17947698.741705354</v>
      </c>
      <c r="AI383" s="158">
        <f t="shared" si="287"/>
        <v>18553963.101402819</v>
      </c>
      <c r="AJ383" s="158">
        <f t="shared" si="287"/>
        <v>19161128.318104856</v>
      </c>
      <c r="AK383" s="158">
        <f t="shared" si="287"/>
        <v>19769216.029096652</v>
      </c>
      <c r="AL383" s="158">
        <f t="shared" si="287"/>
        <v>20426840.527992662</v>
      </c>
      <c r="AM383" s="158">
        <f t="shared" si="287"/>
        <v>21876286.614883848</v>
      </c>
      <c r="AN383" s="373"/>
      <c r="AO383" s="9"/>
      <c r="AP383" s="9"/>
      <c r="AQ383" s="9"/>
      <c r="AR383" s="9"/>
      <c r="AS383" s="9"/>
      <c r="AT383" s="9"/>
      <c r="AU383" s="9"/>
      <c r="AV383" s="9"/>
      <c r="AW383" s="9"/>
      <c r="AX383" s="9"/>
    </row>
    <row r="384" spans="1:50" ht="15.75" customHeight="1" outlineLevel="1" x14ac:dyDescent="0.2">
      <c r="A384" s="1"/>
      <c r="B384" s="81" t="s">
        <v>130</v>
      </c>
      <c r="C384" s="22"/>
      <c r="D384" s="158">
        <f>D364</f>
        <v>-483004.37</v>
      </c>
      <c r="E384" s="51">
        <f t="shared" ref="E384:AM384" si="288">D384+E364</f>
        <v>-743016.41</v>
      </c>
      <c r="F384" s="51">
        <f t="shared" si="288"/>
        <v>-982263.41</v>
      </c>
      <c r="G384" s="51">
        <f t="shared" si="288"/>
        <v>-1182263.4100000001</v>
      </c>
      <c r="H384" s="51">
        <f t="shared" si="288"/>
        <v>-1382263.4100000001</v>
      </c>
      <c r="I384" s="51">
        <f t="shared" si="288"/>
        <v>-1582263.4100000001</v>
      </c>
      <c r="J384" s="51">
        <f t="shared" si="288"/>
        <v>-1882263.4100000001</v>
      </c>
      <c r="K384" s="51">
        <f t="shared" si="288"/>
        <v>-2182263.41</v>
      </c>
      <c r="L384" s="51">
        <f t="shared" si="288"/>
        <v>-2482263.41</v>
      </c>
      <c r="M384" s="51">
        <f t="shared" si="288"/>
        <v>-2782263.41</v>
      </c>
      <c r="N384" s="51">
        <f t="shared" si="288"/>
        <v>-3082263.41</v>
      </c>
      <c r="O384" s="51">
        <f t="shared" si="288"/>
        <v>-3382263.41</v>
      </c>
      <c r="P384" s="51">
        <f t="shared" si="288"/>
        <v>-3682263.41</v>
      </c>
      <c r="Q384" s="51">
        <f t="shared" si="288"/>
        <v>-3982263.41</v>
      </c>
      <c r="R384" s="51">
        <f t="shared" si="288"/>
        <v>-4282263.41</v>
      </c>
      <c r="S384" s="51">
        <f t="shared" si="288"/>
        <v>-4582263.41</v>
      </c>
      <c r="T384" s="51">
        <f t="shared" si="288"/>
        <v>-4882263.41</v>
      </c>
      <c r="U384" s="51">
        <f t="shared" si="288"/>
        <v>-5182263.41</v>
      </c>
      <c r="V384" s="51">
        <f t="shared" si="288"/>
        <v>-5482263.4100000001</v>
      </c>
      <c r="W384" s="51">
        <f t="shared" si="288"/>
        <v>-5782263.4100000001</v>
      </c>
      <c r="X384" s="51">
        <f t="shared" si="288"/>
        <v>-6082263.4100000001</v>
      </c>
      <c r="Y384" s="51">
        <f t="shared" si="288"/>
        <v>-6382263.4100000001</v>
      </c>
      <c r="Z384" s="51">
        <f t="shared" si="288"/>
        <v>-6682263.4100000001</v>
      </c>
      <c r="AA384" s="278">
        <f t="shared" si="288"/>
        <v>-6982263.4100000001</v>
      </c>
      <c r="AB384" s="51">
        <f t="shared" si="288"/>
        <v>-7332263.4100000001</v>
      </c>
      <c r="AC384" s="51">
        <f t="shared" si="288"/>
        <v>-7682263.4100000001</v>
      </c>
      <c r="AD384" s="51">
        <f t="shared" si="288"/>
        <v>-8032263.4100000001</v>
      </c>
      <c r="AE384" s="51">
        <f t="shared" si="288"/>
        <v>-8382263.4100000001</v>
      </c>
      <c r="AF384" s="51">
        <f t="shared" si="288"/>
        <v>-8732263.4100000001</v>
      </c>
      <c r="AG384" s="51">
        <f t="shared" si="288"/>
        <v>-9082263.4100000001</v>
      </c>
      <c r="AH384" s="51">
        <f t="shared" si="288"/>
        <v>-9432263.4100000001</v>
      </c>
      <c r="AI384" s="51">
        <f t="shared" si="288"/>
        <v>-9782263.4100000001</v>
      </c>
      <c r="AJ384" s="51">
        <f t="shared" si="288"/>
        <v>-10132263.41</v>
      </c>
      <c r="AK384" s="51">
        <f t="shared" si="288"/>
        <v>-10482263.41</v>
      </c>
      <c r="AL384" s="51">
        <f t="shared" si="288"/>
        <v>-10832263.41</v>
      </c>
      <c r="AM384" s="51">
        <f t="shared" si="288"/>
        <v>-11182263.41</v>
      </c>
      <c r="AN384" s="373"/>
      <c r="AO384" s="9"/>
      <c r="AP384" s="9"/>
      <c r="AQ384" s="9"/>
      <c r="AR384" s="9"/>
      <c r="AS384" s="9"/>
      <c r="AT384" s="9"/>
      <c r="AU384" s="9"/>
      <c r="AV384" s="9"/>
      <c r="AW384" s="9"/>
      <c r="AX384" s="9"/>
    </row>
    <row r="385" spans="1:50" ht="15.75" customHeight="1" outlineLevel="1" x14ac:dyDescent="0.2">
      <c r="A385" s="1"/>
      <c r="B385" s="81"/>
      <c r="C385" s="22"/>
      <c r="D385" s="22"/>
      <c r="E385" s="22"/>
      <c r="F385" s="22"/>
      <c r="G385" s="22"/>
      <c r="H385" s="22"/>
      <c r="I385" s="22"/>
      <c r="J385" s="22"/>
      <c r="K385" s="22"/>
      <c r="L385" s="22"/>
      <c r="M385" s="22"/>
      <c r="N385" s="22"/>
      <c r="O385" s="266"/>
      <c r="P385" s="22"/>
      <c r="Q385" s="22"/>
      <c r="R385" s="22"/>
      <c r="S385" s="22"/>
      <c r="T385" s="22"/>
      <c r="U385" s="22"/>
      <c r="V385" s="22"/>
      <c r="W385" s="22"/>
      <c r="X385" s="22"/>
      <c r="Y385" s="22"/>
      <c r="Z385" s="22"/>
      <c r="AA385" s="266"/>
      <c r="AB385" s="22"/>
      <c r="AC385" s="22"/>
      <c r="AD385" s="22"/>
      <c r="AE385" s="22"/>
      <c r="AF385" s="22"/>
      <c r="AG385" s="22"/>
      <c r="AH385" s="22"/>
      <c r="AI385" s="22"/>
      <c r="AJ385" s="22"/>
      <c r="AK385" s="22"/>
      <c r="AL385" s="22"/>
      <c r="AM385" s="22"/>
      <c r="AN385" s="373"/>
      <c r="AO385" s="9"/>
      <c r="AP385" s="9"/>
      <c r="AQ385" s="9"/>
      <c r="AR385" s="9"/>
      <c r="AS385" s="9"/>
      <c r="AT385" s="9"/>
      <c r="AU385" s="9"/>
      <c r="AV385" s="9"/>
      <c r="AW385" s="9"/>
      <c r="AX385" s="9"/>
    </row>
    <row r="386" spans="1:50" ht="15.75" customHeight="1" outlineLevel="1" x14ac:dyDescent="0.2">
      <c r="A386" s="189"/>
      <c r="B386" s="190" t="s">
        <v>139</v>
      </c>
      <c r="C386" s="191">
        <f t="shared" ref="C386:AM386" si="289">SUM(C387:C388)</f>
        <v>0</v>
      </c>
      <c r="D386" s="191">
        <f t="shared" si="289"/>
        <v>4166078</v>
      </c>
      <c r="E386" s="191">
        <f t="shared" si="289"/>
        <v>4205962.74125</v>
      </c>
      <c r="F386" s="191">
        <f t="shared" si="289"/>
        <v>4215638.5316498959</v>
      </c>
      <c r="G386" s="191">
        <f t="shared" si="289"/>
        <v>5821763.6068826802</v>
      </c>
      <c r="H386" s="191">
        <f t="shared" si="289"/>
        <v>5276770.9877578681</v>
      </c>
      <c r="I386" s="191">
        <f t="shared" si="289"/>
        <v>5143008.4836182073</v>
      </c>
      <c r="J386" s="191">
        <f t="shared" si="289"/>
        <v>5003385.4934158102</v>
      </c>
      <c r="K386" s="191">
        <f t="shared" si="289"/>
        <v>4783245.0034277234</v>
      </c>
      <c r="L386" s="191">
        <f t="shared" si="289"/>
        <v>4558464.9570012493</v>
      </c>
      <c r="M386" s="191">
        <f t="shared" si="289"/>
        <v>4328578.4868980516</v>
      </c>
      <c r="N386" s="191">
        <f t="shared" si="289"/>
        <v>4069351.9517689119</v>
      </c>
      <c r="O386" s="191">
        <f t="shared" si="289"/>
        <v>3427456.8575489661</v>
      </c>
      <c r="P386" s="191">
        <f t="shared" si="289"/>
        <v>3262561.5731552476</v>
      </c>
      <c r="Q386" s="191">
        <f t="shared" si="289"/>
        <v>3094683.4357619677</v>
      </c>
      <c r="R386" s="191">
        <f t="shared" si="289"/>
        <v>2923761.776596827</v>
      </c>
      <c r="S386" s="191">
        <f t="shared" si="289"/>
        <v>2749735.6146808555</v>
      </c>
      <c r="T386" s="191">
        <f t="shared" si="289"/>
        <v>2572543.4144392023</v>
      </c>
      <c r="U386" s="191">
        <f t="shared" si="289"/>
        <v>2392120.2629798739</v>
      </c>
      <c r="V386" s="191">
        <f t="shared" si="289"/>
        <v>2210078.0170313595</v>
      </c>
      <c r="W386" s="191">
        <f t="shared" si="289"/>
        <v>2033906.5395298274</v>
      </c>
      <c r="X386" s="191">
        <f t="shared" si="289"/>
        <v>1855858.2158463302</v>
      </c>
      <c r="Y386" s="191">
        <f t="shared" si="289"/>
        <v>1680215.5396441717</v>
      </c>
      <c r="Z386" s="191">
        <f t="shared" si="289"/>
        <v>1647194.4583563311</v>
      </c>
      <c r="AA386" s="374">
        <f t="shared" si="289"/>
        <v>1615199.5601334611</v>
      </c>
      <c r="AB386" s="191">
        <f t="shared" si="289"/>
        <v>1582459.5373906246</v>
      </c>
      <c r="AC386" s="191">
        <f t="shared" si="289"/>
        <v>1548956.2441011982</v>
      </c>
      <c r="AD386" s="191">
        <f t="shared" si="289"/>
        <v>1514671.4273132076</v>
      </c>
      <c r="AE386" s="191">
        <f t="shared" si="289"/>
        <v>1479586.3859672383</v>
      </c>
      <c r="AF386" s="191">
        <f t="shared" si="289"/>
        <v>1443681.959605895</v>
      </c>
      <c r="AG386" s="191">
        <f t="shared" si="289"/>
        <v>1406938.5167916673</v>
      </c>
      <c r="AH386" s="191">
        <f t="shared" si="289"/>
        <v>1369335.9432254988</v>
      </c>
      <c r="AI386" s="191">
        <f t="shared" si="289"/>
        <v>1330853.6295581483</v>
      </c>
      <c r="AJ386" s="191">
        <f t="shared" si="289"/>
        <v>1291470.4588862236</v>
      </c>
      <c r="AK386" s="191">
        <f t="shared" si="289"/>
        <v>1251164.79392454</v>
      </c>
      <c r="AL386" s="191">
        <f t="shared" si="289"/>
        <v>1209914.463846236</v>
      </c>
      <c r="AM386" s="191">
        <f t="shared" si="289"/>
        <v>1170052.7507818516</v>
      </c>
      <c r="AN386" s="375"/>
      <c r="AO386" s="9"/>
      <c r="AP386" s="9"/>
      <c r="AQ386" s="9"/>
      <c r="AR386" s="9"/>
      <c r="AS386" s="9"/>
      <c r="AT386" s="9"/>
      <c r="AU386" s="9"/>
      <c r="AV386" s="9"/>
      <c r="AW386" s="9"/>
      <c r="AX386" s="9"/>
    </row>
    <row r="387" spans="1:50" ht="15.75" customHeight="1" outlineLevel="1" x14ac:dyDescent="0.2">
      <c r="A387" s="1"/>
      <c r="B387" s="81" t="s">
        <v>140</v>
      </c>
      <c r="C387" s="51"/>
      <c r="D387" s="158">
        <v>3851078</v>
      </c>
      <c r="E387" s="158">
        <f t="shared" ref="E387:AM387" si="290">E155+E161+E167+E173+E179+E185+E191+E197+E203+E209+E215+E221+E227+E233+E241</f>
        <v>4095962.74125</v>
      </c>
      <c r="F387" s="158">
        <f t="shared" si="290"/>
        <v>3695405.5316498959</v>
      </c>
      <c r="G387" s="158">
        <f t="shared" si="290"/>
        <v>5506763.6068826802</v>
      </c>
      <c r="H387" s="158">
        <f t="shared" si="290"/>
        <v>4961770.9877578681</v>
      </c>
      <c r="I387" s="158">
        <f t="shared" si="290"/>
        <v>4828008.4836182073</v>
      </c>
      <c r="J387" s="158">
        <f t="shared" si="290"/>
        <v>4688385.4934158102</v>
      </c>
      <c r="K387" s="158">
        <f t="shared" si="290"/>
        <v>4468245.0034277234</v>
      </c>
      <c r="L387" s="158">
        <f t="shared" si="290"/>
        <v>4243464.9570012493</v>
      </c>
      <c r="M387" s="158">
        <f t="shared" si="290"/>
        <v>4013578.4868980516</v>
      </c>
      <c r="N387" s="158">
        <f t="shared" si="290"/>
        <v>3754351.9517689119</v>
      </c>
      <c r="O387" s="158">
        <f t="shared" si="290"/>
        <v>3112456.8575489661</v>
      </c>
      <c r="P387" s="158">
        <f t="shared" si="290"/>
        <v>2947561.5731552476</v>
      </c>
      <c r="Q387" s="158">
        <f t="shared" si="290"/>
        <v>2779683.4357619677</v>
      </c>
      <c r="R387" s="158">
        <f t="shared" si="290"/>
        <v>2608761.776596827</v>
      </c>
      <c r="S387" s="158">
        <f t="shared" si="290"/>
        <v>2434735.6146808555</v>
      </c>
      <c r="T387" s="158">
        <f t="shared" si="290"/>
        <v>2257543.4144392023</v>
      </c>
      <c r="U387" s="158">
        <f t="shared" si="290"/>
        <v>2077120.2629798739</v>
      </c>
      <c r="V387" s="158">
        <f t="shared" si="290"/>
        <v>1895078.0170313595</v>
      </c>
      <c r="W387" s="158">
        <f t="shared" si="290"/>
        <v>1718906.5395298274</v>
      </c>
      <c r="X387" s="158">
        <f t="shared" si="290"/>
        <v>1540858.2158463302</v>
      </c>
      <c r="Y387" s="158">
        <f t="shared" si="290"/>
        <v>1365215.5396441717</v>
      </c>
      <c r="Z387" s="158">
        <f t="shared" si="290"/>
        <v>1332194.4583563311</v>
      </c>
      <c r="AA387" s="287">
        <f t="shared" si="290"/>
        <v>1300199.5601334611</v>
      </c>
      <c r="AB387" s="158">
        <f t="shared" si="290"/>
        <v>1267459.5373906246</v>
      </c>
      <c r="AC387" s="158">
        <f t="shared" si="290"/>
        <v>1233956.2441011982</v>
      </c>
      <c r="AD387" s="158">
        <f t="shared" si="290"/>
        <v>1199671.4273132076</v>
      </c>
      <c r="AE387" s="158">
        <f t="shared" si="290"/>
        <v>1164586.3859672383</v>
      </c>
      <c r="AF387" s="158">
        <f t="shared" si="290"/>
        <v>1128681.959605895</v>
      </c>
      <c r="AG387" s="158">
        <f t="shared" si="290"/>
        <v>1091938.5167916673</v>
      </c>
      <c r="AH387" s="158">
        <f t="shared" si="290"/>
        <v>1054335.9432254988</v>
      </c>
      <c r="AI387" s="158">
        <f t="shared" si="290"/>
        <v>1015853.6295581482</v>
      </c>
      <c r="AJ387" s="158">
        <f t="shared" si="290"/>
        <v>976470.45888622361</v>
      </c>
      <c r="AK387" s="158">
        <f t="shared" si="290"/>
        <v>936164.79392454005</v>
      </c>
      <c r="AL387" s="158">
        <f t="shared" si="290"/>
        <v>894914.46384623612</v>
      </c>
      <c r="AM387" s="158">
        <f t="shared" si="290"/>
        <v>855052.75078185159</v>
      </c>
      <c r="AN387" s="373"/>
      <c r="AO387" s="9"/>
      <c r="AP387" s="9"/>
      <c r="AQ387" s="9"/>
      <c r="AR387" s="9"/>
      <c r="AS387" s="9"/>
      <c r="AT387" s="9"/>
      <c r="AU387" s="9"/>
      <c r="AV387" s="9"/>
      <c r="AW387" s="9"/>
      <c r="AX387" s="9"/>
    </row>
    <row r="388" spans="1:50" ht="15.75" customHeight="1" outlineLevel="1" x14ac:dyDescent="0.2">
      <c r="A388" s="1"/>
      <c r="B388" s="81" t="s">
        <v>118</v>
      </c>
      <c r="C388" s="51">
        <f>C334</f>
        <v>0</v>
      </c>
      <c r="D388" s="158">
        <v>315000</v>
      </c>
      <c r="E388" s="158">
        <v>110000</v>
      </c>
      <c r="F388" s="158">
        <v>520233</v>
      </c>
      <c r="G388" s="158">
        <v>315000</v>
      </c>
      <c r="H388" s="158">
        <v>315000</v>
      </c>
      <c r="I388" s="158">
        <v>315000</v>
      </c>
      <c r="J388" s="158">
        <v>315000</v>
      </c>
      <c r="K388" s="158">
        <v>315000</v>
      </c>
      <c r="L388" s="158">
        <v>315000</v>
      </c>
      <c r="M388" s="158">
        <v>315000</v>
      </c>
      <c r="N388" s="158">
        <v>315000</v>
      </c>
      <c r="O388" s="158">
        <v>315000</v>
      </c>
      <c r="P388" s="158">
        <v>315000</v>
      </c>
      <c r="Q388" s="158">
        <v>315000</v>
      </c>
      <c r="R388" s="158">
        <v>315000</v>
      </c>
      <c r="S388" s="158">
        <v>315000</v>
      </c>
      <c r="T388" s="158">
        <v>315000</v>
      </c>
      <c r="U388" s="158">
        <v>315000</v>
      </c>
      <c r="V388" s="158">
        <v>315000</v>
      </c>
      <c r="W388" s="158">
        <v>315000</v>
      </c>
      <c r="X388" s="158">
        <v>315000</v>
      </c>
      <c r="Y388" s="158">
        <v>315000</v>
      </c>
      <c r="Z388" s="158">
        <v>315000</v>
      </c>
      <c r="AA388" s="287">
        <v>315000</v>
      </c>
      <c r="AB388" s="158">
        <v>315000</v>
      </c>
      <c r="AC388" s="158">
        <v>315000</v>
      </c>
      <c r="AD388" s="158">
        <v>315000</v>
      </c>
      <c r="AE388" s="158">
        <v>315000</v>
      </c>
      <c r="AF388" s="158">
        <v>315000</v>
      </c>
      <c r="AG388" s="158">
        <v>315000</v>
      </c>
      <c r="AH388" s="158">
        <v>315000</v>
      </c>
      <c r="AI388" s="158">
        <v>315000</v>
      </c>
      <c r="AJ388" s="158">
        <v>315000</v>
      </c>
      <c r="AK388" s="158">
        <v>315000</v>
      </c>
      <c r="AL388" s="158">
        <v>315000</v>
      </c>
      <c r="AM388" s="158">
        <v>315000</v>
      </c>
      <c r="AN388" s="373"/>
      <c r="AO388" s="9"/>
      <c r="AP388" s="9"/>
      <c r="AQ388" s="9"/>
      <c r="AR388" s="9"/>
      <c r="AS388" s="9"/>
      <c r="AT388" s="9"/>
      <c r="AU388" s="9"/>
      <c r="AV388" s="9"/>
      <c r="AW388" s="9"/>
      <c r="AX388" s="9"/>
    </row>
    <row r="389" spans="1:50" ht="15.75" customHeight="1" x14ac:dyDescent="0.2">
      <c r="A389" s="1"/>
      <c r="B389" s="24"/>
      <c r="C389" s="22"/>
      <c r="D389" s="22"/>
      <c r="E389" s="22"/>
      <c r="F389" s="22"/>
      <c r="G389" s="22"/>
      <c r="H389" s="22"/>
      <c r="I389" s="22"/>
      <c r="J389" s="22"/>
      <c r="K389" s="22"/>
      <c r="L389" s="22"/>
      <c r="M389" s="22"/>
      <c r="N389" s="22"/>
      <c r="O389" s="266"/>
      <c r="P389" s="22"/>
      <c r="Q389" s="22"/>
      <c r="R389" s="22"/>
      <c r="S389" s="22"/>
      <c r="T389" s="22"/>
      <c r="U389" s="22"/>
      <c r="V389" s="22"/>
      <c r="W389" s="22"/>
      <c r="X389" s="22"/>
      <c r="Y389" s="22"/>
      <c r="Z389" s="22"/>
      <c r="AA389" s="266"/>
      <c r="AB389" s="22"/>
      <c r="AC389" s="22"/>
      <c r="AD389" s="22"/>
      <c r="AE389" s="22"/>
      <c r="AF389" s="22"/>
      <c r="AG389" s="22"/>
      <c r="AH389" s="22"/>
      <c r="AI389" s="22"/>
      <c r="AJ389" s="22"/>
      <c r="AK389" s="22"/>
      <c r="AL389" s="22"/>
      <c r="AM389" s="22"/>
      <c r="AN389" s="373"/>
      <c r="AO389" s="9"/>
      <c r="AP389" s="9"/>
      <c r="AQ389" s="9"/>
      <c r="AR389" s="9"/>
      <c r="AS389" s="9"/>
      <c r="AT389" s="9"/>
      <c r="AU389" s="9"/>
      <c r="AV389" s="9"/>
      <c r="AW389" s="9"/>
      <c r="AX389" s="9"/>
    </row>
    <row r="390" spans="1:50" ht="15.75" hidden="1" customHeight="1" x14ac:dyDescent="0.25">
      <c r="A390" s="9"/>
      <c r="B390" s="193" t="s">
        <v>141</v>
      </c>
      <c r="C390" s="194" t="s">
        <v>142</v>
      </c>
      <c r="D390" s="195">
        <v>1</v>
      </c>
      <c r="E390" s="195">
        <v>2</v>
      </c>
      <c r="F390" s="195">
        <v>3</v>
      </c>
      <c r="G390" s="195">
        <v>4</v>
      </c>
      <c r="H390" s="195">
        <v>5</v>
      </c>
      <c r="I390" s="195">
        <v>6</v>
      </c>
      <c r="J390" s="195">
        <v>7</v>
      </c>
      <c r="K390" s="195">
        <v>8</v>
      </c>
      <c r="L390" s="195">
        <v>9</v>
      </c>
      <c r="M390" s="195">
        <v>10</v>
      </c>
      <c r="N390" s="195">
        <v>11</v>
      </c>
      <c r="O390" s="376">
        <v>12</v>
      </c>
      <c r="P390" s="195"/>
      <c r="Q390" s="195"/>
      <c r="R390" s="195"/>
      <c r="S390" s="195"/>
      <c r="T390" s="195"/>
      <c r="U390" s="195"/>
      <c r="V390" s="195"/>
      <c r="W390" s="195"/>
      <c r="X390" s="195"/>
      <c r="Y390" s="195"/>
      <c r="Z390" s="195"/>
      <c r="AA390" s="376"/>
      <c r="AB390" s="195"/>
      <c r="AC390" s="195"/>
      <c r="AD390" s="195"/>
      <c r="AE390" s="195"/>
      <c r="AF390" s="195"/>
      <c r="AG390" s="195"/>
      <c r="AH390" s="195"/>
      <c r="AI390" s="195"/>
      <c r="AJ390" s="195"/>
      <c r="AK390" s="195"/>
      <c r="AL390" s="195"/>
      <c r="AM390" s="195"/>
      <c r="AN390" s="196"/>
      <c r="AO390" s="9"/>
      <c r="AP390" s="9"/>
      <c r="AQ390" s="9"/>
      <c r="AR390" s="9"/>
      <c r="AS390" s="9"/>
      <c r="AT390" s="9"/>
      <c r="AU390" s="9"/>
      <c r="AV390" s="9"/>
      <c r="AW390" s="9"/>
      <c r="AX390" s="9"/>
    </row>
    <row r="391" spans="1:50" ht="15.75" hidden="1" customHeight="1" x14ac:dyDescent="0.2">
      <c r="A391" s="9"/>
      <c r="B391" s="197" t="s">
        <v>143</v>
      </c>
      <c r="C391" s="198">
        <v>1.5</v>
      </c>
      <c r="D391" s="199">
        <f>(D377+D376+D375)/(D387+D388)</f>
        <v>0.44910266730483683</v>
      </c>
      <c r="E391" s="199"/>
      <c r="F391" s="199"/>
      <c r="G391" s="199"/>
      <c r="H391" s="199"/>
      <c r="I391" s="199"/>
      <c r="J391" s="199"/>
      <c r="K391" s="199"/>
      <c r="L391" s="199"/>
      <c r="M391" s="199"/>
      <c r="N391" s="199"/>
      <c r="O391" s="377"/>
      <c r="P391" s="199"/>
      <c r="Q391" s="199"/>
      <c r="R391" s="199"/>
      <c r="S391" s="199"/>
      <c r="T391" s="199"/>
      <c r="U391" s="199"/>
      <c r="V391" s="199"/>
      <c r="W391" s="199"/>
      <c r="X391" s="199"/>
      <c r="Y391" s="199"/>
      <c r="Z391" s="199"/>
      <c r="AA391" s="377"/>
      <c r="AB391" s="199"/>
      <c r="AC391" s="199"/>
      <c r="AD391" s="199"/>
      <c r="AE391" s="199"/>
      <c r="AF391" s="199"/>
      <c r="AG391" s="199"/>
      <c r="AH391" s="199"/>
      <c r="AI391" s="199"/>
      <c r="AJ391" s="199"/>
      <c r="AK391" s="199"/>
      <c r="AL391" s="199"/>
      <c r="AM391" s="199"/>
      <c r="AN391" s="9"/>
      <c r="AO391" s="9"/>
      <c r="AP391" s="9"/>
      <c r="AQ391" s="9"/>
      <c r="AR391" s="9"/>
      <c r="AS391" s="9"/>
      <c r="AT391" s="9"/>
      <c r="AU391" s="9"/>
      <c r="AV391" s="9"/>
      <c r="AW391" s="9"/>
      <c r="AX391" s="9"/>
    </row>
    <row r="392" spans="1:50" ht="15.75" hidden="1" customHeight="1" x14ac:dyDescent="0.2">
      <c r="A392" s="9"/>
      <c r="B392" s="197" t="s">
        <v>144</v>
      </c>
      <c r="C392" s="198">
        <v>0.2</v>
      </c>
      <c r="D392" s="199">
        <f>(D375)/(D387+D388)</f>
        <v>2.284348540761838E-2</v>
      </c>
      <c r="E392" s="199"/>
      <c r="F392" s="199"/>
      <c r="G392" s="199"/>
      <c r="H392" s="199"/>
      <c r="I392" s="199"/>
      <c r="J392" s="199"/>
      <c r="K392" s="199"/>
      <c r="L392" s="199"/>
      <c r="M392" s="199"/>
      <c r="N392" s="199"/>
      <c r="O392" s="377"/>
      <c r="P392" s="199"/>
      <c r="Q392" s="199"/>
      <c r="R392" s="199"/>
      <c r="S392" s="199"/>
      <c r="T392" s="199"/>
      <c r="U392" s="199"/>
      <c r="V392" s="199"/>
      <c r="W392" s="199"/>
      <c r="X392" s="199"/>
      <c r="Y392" s="199"/>
      <c r="Z392" s="199"/>
      <c r="AA392" s="377"/>
      <c r="AB392" s="199"/>
      <c r="AC392" s="199"/>
      <c r="AD392" s="199"/>
      <c r="AE392" s="199"/>
      <c r="AF392" s="199"/>
      <c r="AG392" s="199"/>
      <c r="AH392" s="199"/>
      <c r="AI392" s="199"/>
      <c r="AJ392" s="199"/>
      <c r="AK392" s="199"/>
      <c r="AL392" s="199"/>
      <c r="AM392" s="199"/>
      <c r="AN392" s="9"/>
      <c r="AO392" s="9"/>
      <c r="AP392" s="9"/>
      <c r="AQ392" s="9"/>
      <c r="AR392" s="9"/>
      <c r="AS392" s="9"/>
      <c r="AT392" s="9"/>
      <c r="AU392" s="9"/>
      <c r="AV392" s="9"/>
      <c r="AW392" s="9"/>
      <c r="AX392" s="9"/>
    </row>
    <row r="393" spans="1:50" ht="15.75" hidden="1" customHeight="1" x14ac:dyDescent="0.2">
      <c r="A393" s="9"/>
      <c r="B393" s="197" t="s">
        <v>145</v>
      </c>
      <c r="C393" s="198">
        <v>0.6</v>
      </c>
      <c r="D393" s="199">
        <f>D381/D373</f>
        <v>-1.0483821932812323</v>
      </c>
      <c r="E393" s="199"/>
      <c r="F393" s="199"/>
      <c r="G393" s="199"/>
      <c r="H393" s="199"/>
      <c r="I393" s="199"/>
      <c r="J393" s="199"/>
      <c r="K393" s="199"/>
      <c r="L393" s="199"/>
      <c r="M393" s="199"/>
      <c r="N393" s="199"/>
      <c r="O393" s="377"/>
      <c r="P393" s="199"/>
      <c r="Q393" s="199"/>
      <c r="R393" s="199"/>
      <c r="S393" s="199"/>
      <c r="T393" s="199"/>
      <c r="U393" s="199"/>
      <c r="V393" s="199"/>
      <c r="W393" s="199"/>
      <c r="X393" s="199"/>
      <c r="Y393" s="199"/>
      <c r="Z393" s="199"/>
      <c r="AA393" s="377"/>
      <c r="AB393" s="199"/>
      <c r="AC393" s="199"/>
      <c r="AD393" s="199"/>
      <c r="AE393" s="199"/>
      <c r="AF393" s="199"/>
      <c r="AG393" s="199"/>
      <c r="AH393" s="199"/>
      <c r="AI393" s="199"/>
      <c r="AJ393" s="199"/>
      <c r="AK393" s="199"/>
      <c r="AL393" s="199"/>
      <c r="AM393" s="199"/>
      <c r="AN393" s="9"/>
      <c r="AO393" s="9"/>
      <c r="AP393" s="9"/>
      <c r="AQ393" s="9"/>
      <c r="AR393" s="9"/>
      <c r="AS393" s="9"/>
      <c r="AT393" s="9"/>
      <c r="AU393" s="9"/>
      <c r="AV393" s="9"/>
      <c r="AW393" s="9"/>
      <c r="AX393" s="9"/>
    </row>
    <row r="394" spans="1:50" ht="15.75" hidden="1" customHeight="1" x14ac:dyDescent="0.2">
      <c r="A394" s="9"/>
      <c r="B394" s="197" t="s">
        <v>146</v>
      </c>
      <c r="C394" s="198">
        <v>0.4</v>
      </c>
      <c r="D394" s="199">
        <f>D381/D379</f>
        <v>-0.88975630153568563</v>
      </c>
      <c r="E394" s="199"/>
      <c r="F394" s="199"/>
      <c r="G394" s="199"/>
      <c r="H394" s="199"/>
      <c r="I394" s="199"/>
      <c r="J394" s="199"/>
      <c r="K394" s="199"/>
      <c r="L394" s="199"/>
      <c r="M394" s="199"/>
      <c r="N394" s="199"/>
      <c r="O394" s="377"/>
      <c r="P394" s="199"/>
      <c r="Q394" s="199"/>
      <c r="R394" s="199"/>
      <c r="S394" s="199"/>
      <c r="T394" s="199"/>
      <c r="U394" s="199"/>
      <c r="V394" s="199"/>
      <c r="W394" s="199"/>
      <c r="X394" s="199"/>
      <c r="Y394" s="199"/>
      <c r="Z394" s="199"/>
      <c r="AA394" s="377"/>
      <c r="AB394" s="199"/>
      <c r="AC394" s="199"/>
      <c r="AD394" s="199"/>
      <c r="AE394" s="199"/>
      <c r="AF394" s="199"/>
      <c r="AG394" s="199"/>
      <c r="AH394" s="199"/>
      <c r="AI394" s="199"/>
      <c r="AJ394" s="199"/>
      <c r="AK394" s="199"/>
      <c r="AL394" s="199"/>
      <c r="AM394" s="199"/>
      <c r="AN394" s="9"/>
      <c r="AO394" s="9"/>
      <c r="AP394" s="9"/>
      <c r="AQ394" s="9"/>
      <c r="AR394" s="9"/>
      <c r="AS394" s="9"/>
      <c r="AT394" s="9"/>
      <c r="AU394" s="9"/>
      <c r="AV394" s="9"/>
      <c r="AW394" s="9"/>
      <c r="AX394" s="9"/>
    </row>
    <row r="395" spans="1:50" ht="15.75" hidden="1" customHeight="1" x14ac:dyDescent="0.2">
      <c r="A395" s="9"/>
      <c r="B395" s="197" t="s">
        <v>147</v>
      </c>
      <c r="C395" s="198">
        <v>0.35</v>
      </c>
      <c r="D395" s="199">
        <f>AVERAGE(D143:O143)/D381</f>
        <v>-0.242851258984952</v>
      </c>
      <c r="E395" s="200"/>
      <c r="F395" s="200"/>
      <c r="G395" s="200"/>
      <c r="H395" s="200"/>
      <c r="I395" s="200"/>
      <c r="J395" s="200"/>
      <c r="K395" s="200"/>
      <c r="L395" s="200"/>
      <c r="M395" s="200"/>
      <c r="N395" s="200"/>
      <c r="O395" s="378"/>
      <c r="P395" s="200"/>
      <c r="Q395" s="200"/>
      <c r="R395" s="200"/>
      <c r="S395" s="200"/>
      <c r="T395" s="200"/>
      <c r="U395" s="200"/>
      <c r="V395" s="200"/>
      <c r="W395" s="200"/>
      <c r="X395" s="200"/>
      <c r="Y395" s="200"/>
      <c r="Z395" s="200"/>
      <c r="AA395" s="378"/>
      <c r="AB395" s="200"/>
      <c r="AC395" s="200"/>
      <c r="AD395" s="200"/>
      <c r="AE395" s="200"/>
      <c r="AF395" s="200"/>
      <c r="AG395" s="200"/>
      <c r="AH395" s="200"/>
      <c r="AI395" s="200"/>
      <c r="AJ395" s="200"/>
      <c r="AK395" s="200"/>
      <c r="AL395" s="200"/>
      <c r="AM395" s="200"/>
      <c r="AN395" s="9"/>
      <c r="AO395" s="9"/>
      <c r="AP395" s="9"/>
      <c r="AQ395" s="9"/>
      <c r="AR395" s="9"/>
      <c r="AS395" s="9"/>
      <c r="AT395" s="9"/>
      <c r="AU395" s="9"/>
      <c r="AV395" s="9"/>
      <c r="AW395" s="9"/>
      <c r="AX395" s="9"/>
    </row>
    <row r="396" spans="1:50" ht="15.75" hidden="1" customHeight="1" x14ac:dyDescent="0.2">
      <c r="A396" s="9"/>
      <c r="B396" s="197" t="s">
        <v>148</v>
      </c>
      <c r="C396" s="198">
        <v>0.1</v>
      </c>
      <c r="D396" s="199">
        <f>AVERAGE(D143:O143)/D373</f>
        <v>0.25460093553575258</v>
      </c>
      <c r="E396" s="200"/>
      <c r="F396" s="200"/>
      <c r="G396" s="200"/>
      <c r="H396" s="200"/>
      <c r="I396" s="200"/>
      <c r="J396" s="200"/>
      <c r="K396" s="200"/>
      <c r="L396" s="200"/>
      <c r="M396" s="200"/>
      <c r="N396" s="200"/>
      <c r="O396" s="378"/>
      <c r="P396" s="200"/>
      <c r="Q396" s="200"/>
      <c r="R396" s="200"/>
      <c r="S396" s="200"/>
      <c r="T396" s="200"/>
      <c r="U396" s="200"/>
      <c r="V396" s="200"/>
      <c r="W396" s="200"/>
      <c r="X396" s="200"/>
      <c r="Y396" s="200"/>
      <c r="Z396" s="200"/>
      <c r="AA396" s="378"/>
      <c r="AB396" s="200"/>
      <c r="AC396" s="200"/>
      <c r="AD396" s="200"/>
      <c r="AE396" s="200"/>
      <c r="AF396" s="200"/>
      <c r="AG396" s="200"/>
      <c r="AH396" s="200"/>
      <c r="AI396" s="200"/>
      <c r="AJ396" s="200"/>
      <c r="AK396" s="200"/>
      <c r="AL396" s="200"/>
      <c r="AM396" s="200"/>
      <c r="AN396" s="9"/>
      <c r="AO396" s="9"/>
      <c r="AP396" s="9"/>
      <c r="AQ396" s="9"/>
      <c r="AR396" s="9"/>
      <c r="AS396" s="9"/>
      <c r="AT396" s="9"/>
      <c r="AU396" s="9"/>
      <c r="AV396" s="9"/>
      <c r="AW396" s="9"/>
      <c r="AX396" s="9"/>
    </row>
    <row r="397" spans="1:50" ht="15.75" hidden="1" customHeight="1" x14ac:dyDescent="0.2">
      <c r="A397" s="9"/>
      <c r="B397" s="201" t="s">
        <v>149</v>
      </c>
      <c r="C397" s="202">
        <v>60</v>
      </c>
      <c r="D397" s="379"/>
      <c r="E397" s="379"/>
      <c r="F397" s="379"/>
      <c r="G397" s="379"/>
      <c r="H397" s="379"/>
      <c r="I397" s="379"/>
      <c r="J397" s="379"/>
      <c r="K397" s="379"/>
      <c r="L397" s="379"/>
      <c r="M397" s="379"/>
      <c r="N397" s="379"/>
      <c r="O397" s="380"/>
      <c r="P397" s="203"/>
      <c r="Q397" s="203"/>
      <c r="R397" s="203"/>
      <c r="S397" s="203"/>
      <c r="T397" s="203"/>
      <c r="U397" s="203"/>
      <c r="V397" s="203"/>
      <c r="W397" s="203"/>
      <c r="X397" s="203"/>
      <c r="Y397" s="203"/>
      <c r="Z397" s="203"/>
      <c r="AA397" s="381"/>
      <c r="AB397" s="203"/>
      <c r="AC397" s="203"/>
      <c r="AD397" s="203"/>
      <c r="AE397" s="203"/>
      <c r="AF397" s="203"/>
      <c r="AG397" s="203"/>
      <c r="AH397" s="203"/>
      <c r="AI397" s="203"/>
      <c r="AJ397" s="203"/>
      <c r="AK397" s="203"/>
      <c r="AL397" s="203"/>
      <c r="AM397" s="203"/>
      <c r="AN397" s="9"/>
      <c r="AO397" s="9"/>
      <c r="AP397" s="9"/>
      <c r="AQ397" s="9"/>
      <c r="AR397" s="9"/>
      <c r="AS397" s="9"/>
      <c r="AT397" s="9"/>
      <c r="AU397" s="9"/>
      <c r="AV397" s="9"/>
      <c r="AW397" s="9"/>
      <c r="AX397" s="9"/>
    </row>
    <row r="398" spans="1:50" ht="15.75" customHeight="1" x14ac:dyDescent="0.2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212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  <c r="AA398" s="212"/>
      <c r="AB398" s="9"/>
      <c r="AC398" s="9"/>
      <c r="AD398" s="9"/>
      <c r="AE398" s="9"/>
      <c r="AF398" s="9"/>
      <c r="AG398" s="9"/>
      <c r="AH398" s="9"/>
      <c r="AI398" s="9"/>
      <c r="AJ398" s="9"/>
      <c r="AK398" s="9"/>
      <c r="AL398" s="9"/>
      <c r="AM398" s="9"/>
      <c r="AN398" s="9"/>
      <c r="AO398" s="9"/>
      <c r="AP398" s="9"/>
      <c r="AQ398" s="9"/>
      <c r="AR398" s="9"/>
      <c r="AS398" s="9"/>
      <c r="AT398" s="9"/>
      <c r="AU398" s="9"/>
      <c r="AV398" s="9"/>
      <c r="AW398" s="9"/>
      <c r="AX398" s="9"/>
    </row>
    <row r="399" spans="1:50" ht="15.75" customHeight="1" x14ac:dyDescent="0.2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212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  <c r="AA399" s="212"/>
      <c r="AB399" s="9"/>
      <c r="AC399" s="9"/>
      <c r="AD399" s="9"/>
      <c r="AE399" s="9"/>
      <c r="AF399" s="9"/>
      <c r="AG399" s="9"/>
      <c r="AH399" s="9"/>
      <c r="AI399" s="9"/>
      <c r="AJ399" s="9"/>
      <c r="AK399" s="9"/>
      <c r="AL399" s="9"/>
      <c r="AM399" s="9"/>
      <c r="AN399" s="9"/>
      <c r="AO399" s="9"/>
      <c r="AP399" s="9"/>
      <c r="AQ399" s="9"/>
      <c r="AR399" s="9"/>
      <c r="AS399" s="9"/>
      <c r="AT399" s="9"/>
      <c r="AU399" s="9"/>
      <c r="AV399" s="9"/>
      <c r="AW399" s="9"/>
      <c r="AX399" s="9"/>
    </row>
    <row r="400" spans="1:50" ht="15.75" customHeight="1" x14ac:dyDescent="0.2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212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  <c r="AA400" s="212"/>
      <c r="AB400" s="9"/>
      <c r="AC400" s="9"/>
      <c r="AD400" s="9"/>
      <c r="AE400" s="9"/>
      <c r="AF400" s="9"/>
      <c r="AG400" s="9"/>
      <c r="AH400" s="9"/>
      <c r="AI400" s="9"/>
      <c r="AJ400" s="9"/>
      <c r="AK400" s="9"/>
      <c r="AL400" s="9"/>
      <c r="AM400" s="9"/>
      <c r="AN400" s="9"/>
      <c r="AO400" s="9"/>
      <c r="AP400" s="9"/>
      <c r="AQ400" s="9"/>
      <c r="AR400" s="9"/>
      <c r="AS400" s="9"/>
      <c r="AT400" s="9"/>
      <c r="AU400" s="9"/>
      <c r="AV400" s="9"/>
      <c r="AW400" s="9"/>
      <c r="AX400" s="9"/>
    </row>
    <row r="401" spans="1:50" ht="15.75" customHeight="1" x14ac:dyDescent="0.2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212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  <c r="AA401" s="212"/>
      <c r="AB401" s="9"/>
      <c r="AC401" s="9"/>
      <c r="AD401" s="9"/>
      <c r="AE401" s="9"/>
      <c r="AF401" s="9"/>
      <c r="AG401" s="9"/>
      <c r="AH401" s="9"/>
      <c r="AI401" s="9"/>
      <c r="AJ401" s="9"/>
      <c r="AK401" s="9"/>
      <c r="AL401" s="9"/>
      <c r="AM401" s="9"/>
      <c r="AN401" s="9"/>
      <c r="AO401" s="9"/>
      <c r="AP401" s="9"/>
      <c r="AQ401" s="9"/>
      <c r="AR401" s="9"/>
      <c r="AS401" s="9"/>
      <c r="AT401" s="9"/>
      <c r="AU401" s="9"/>
      <c r="AV401" s="9"/>
      <c r="AW401" s="9"/>
      <c r="AX401" s="9"/>
    </row>
    <row r="402" spans="1:50" ht="15.75" customHeight="1" x14ac:dyDescent="0.2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212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  <c r="AA402" s="212"/>
      <c r="AB402" s="9"/>
      <c r="AC402" s="9"/>
      <c r="AD402" s="9"/>
      <c r="AE402" s="9"/>
      <c r="AF402" s="9"/>
      <c r="AG402" s="9"/>
      <c r="AH402" s="9"/>
      <c r="AI402" s="9"/>
      <c r="AJ402" s="9"/>
      <c r="AK402" s="9"/>
      <c r="AL402" s="9"/>
      <c r="AM402" s="9"/>
      <c r="AN402" s="9"/>
      <c r="AO402" s="9"/>
      <c r="AP402" s="9"/>
      <c r="AQ402" s="9"/>
      <c r="AR402" s="9"/>
      <c r="AS402" s="9"/>
      <c r="AT402" s="9"/>
      <c r="AU402" s="9"/>
      <c r="AV402" s="9"/>
      <c r="AW402" s="9"/>
      <c r="AX402" s="9"/>
    </row>
    <row r="403" spans="1:50" ht="15.75" customHeight="1" x14ac:dyDescent="0.2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212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  <c r="AA403" s="212"/>
      <c r="AB403" s="9"/>
      <c r="AC403" s="9"/>
      <c r="AD403" s="9"/>
      <c r="AE403" s="9"/>
      <c r="AF403" s="9"/>
      <c r="AG403" s="9"/>
      <c r="AH403" s="9"/>
      <c r="AI403" s="9"/>
      <c r="AJ403" s="9"/>
      <c r="AK403" s="9"/>
      <c r="AL403" s="9"/>
      <c r="AM403" s="9"/>
      <c r="AN403" s="9"/>
      <c r="AO403" s="9"/>
      <c r="AP403" s="9"/>
      <c r="AQ403" s="9"/>
      <c r="AR403" s="9"/>
      <c r="AS403" s="9"/>
      <c r="AT403" s="9"/>
      <c r="AU403" s="9"/>
      <c r="AV403" s="9"/>
      <c r="AW403" s="9"/>
      <c r="AX403" s="9"/>
    </row>
    <row r="404" spans="1:50" ht="15.75" customHeight="1" x14ac:dyDescent="0.2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212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  <c r="AA404" s="212"/>
      <c r="AB404" s="9"/>
      <c r="AC404" s="9"/>
      <c r="AD404" s="9"/>
      <c r="AE404" s="9"/>
      <c r="AF404" s="9"/>
      <c r="AG404" s="9"/>
      <c r="AH404" s="9"/>
      <c r="AI404" s="9"/>
      <c r="AJ404" s="9"/>
      <c r="AK404" s="9"/>
      <c r="AL404" s="9"/>
      <c r="AM404" s="9"/>
      <c r="AN404" s="9"/>
      <c r="AO404" s="9"/>
      <c r="AP404" s="9"/>
      <c r="AQ404" s="9"/>
      <c r="AR404" s="9"/>
      <c r="AS404" s="9"/>
      <c r="AT404" s="9"/>
      <c r="AU404" s="9"/>
      <c r="AV404" s="9"/>
      <c r="AW404" s="9"/>
      <c r="AX404" s="9"/>
    </row>
    <row r="405" spans="1:50" ht="15.75" customHeight="1" x14ac:dyDescent="0.2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212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  <c r="AA405" s="212"/>
      <c r="AB405" s="9"/>
      <c r="AC405" s="9"/>
      <c r="AD405" s="9"/>
      <c r="AE405" s="9"/>
      <c r="AF405" s="9"/>
      <c r="AG405" s="9"/>
      <c r="AH405" s="9"/>
      <c r="AI405" s="9"/>
      <c r="AJ405" s="9"/>
      <c r="AK405" s="9"/>
      <c r="AL405" s="9"/>
      <c r="AM405" s="9"/>
      <c r="AN405" s="9"/>
      <c r="AO405" s="9"/>
      <c r="AP405" s="9"/>
      <c r="AQ405" s="9"/>
      <c r="AR405" s="9"/>
      <c r="AS405" s="9"/>
      <c r="AT405" s="9"/>
      <c r="AU405" s="9"/>
      <c r="AV405" s="9"/>
      <c r="AW405" s="9"/>
      <c r="AX405" s="9"/>
    </row>
    <row r="406" spans="1:50" ht="15.75" customHeight="1" x14ac:dyDescent="0.2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212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  <c r="AA406" s="212"/>
      <c r="AB406" s="9"/>
      <c r="AC406" s="9"/>
      <c r="AD406" s="9"/>
      <c r="AE406" s="9"/>
      <c r="AF406" s="9"/>
      <c r="AG406" s="9"/>
      <c r="AH406" s="9"/>
      <c r="AI406" s="9"/>
      <c r="AJ406" s="9"/>
      <c r="AK406" s="9"/>
      <c r="AL406" s="9"/>
      <c r="AM406" s="9"/>
      <c r="AN406" s="9"/>
      <c r="AO406" s="9"/>
      <c r="AP406" s="9"/>
      <c r="AQ406" s="9"/>
      <c r="AR406" s="9"/>
      <c r="AS406" s="9"/>
      <c r="AT406" s="9"/>
      <c r="AU406" s="9"/>
      <c r="AV406" s="9"/>
      <c r="AW406" s="9"/>
      <c r="AX406" s="9"/>
    </row>
    <row r="407" spans="1:50" ht="15.75" customHeight="1" x14ac:dyDescent="0.2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212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  <c r="AA407" s="212"/>
      <c r="AB407" s="9"/>
      <c r="AC407" s="9"/>
      <c r="AD407" s="9"/>
      <c r="AE407" s="9"/>
      <c r="AF407" s="9"/>
      <c r="AG407" s="9"/>
      <c r="AH407" s="9"/>
      <c r="AI407" s="9"/>
      <c r="AJ407" s="9"/>
      <c r="AK407" s="9"/>
      <c r="AL407" s="9"/>
      <c r="AM407" s="9"/>
      <c r="AN407" s="9"/>
      <c r="AO407" s="9"/>
      <c r="AP407" s="9"/>
      <c r="AQ407" s="9"/>
      <c r="AR407" s="9"/>
      <c r="AS407" s="9"/>
      <c r="AT407" s="9"/>
      <c r="AU407" s="9"/>
      <c r="AV407" s="9"/>
      <c r="AW407" s="9"/>
      <c r="AX407" s="9"/>
    </row>
    <row r="408" spans="1:50" ht="15.75" customHeight="1" x14ac:dyDescent="0.2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212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  <c r="AA408" s="212"/>
      <c r="AB408" s="9"/>
      <c r="AC408" s="9"/>
      <c r="AD408" s="9"/>
      <c r="AE408" s="9"/>
      <c r="AF408" s="9"/>
      <c r="AG408" s="9"/>
      <c r="AH408" s="9"/>
      <c r="AI408" s="9"/>
      <c r="AJ408" s="9"/>
      <c r="AK408" s="9"/>
      <c r="AL408" s="9"/>
      <c r="AM408" s="9"/>
      <c r="AN408" s="9"/>
      <c r="AO408" s="9"/>
      <c r="AP408" s="9"/>
      <c r="AQ408" s="9"/>
      <c r="AR408" s="9"/>
      <c r="AS408" s="9"/>
      <c r="AT408" s="9"/>
      <c r="AU408" s="9"/>
      <c r="AV408" s="9"/>
      <c r="AW408" s="9"/>
      <c r="AX408" s="9"/>
    </row>
    <row r="409" spans="1:50" ht="15.75" customHeight="1" x14ac:dyDescent="0.2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212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  <c r="AA409" s="212"/>
      <c r="AB409" s="9"/>
      <c r="AC409" s="9"/>
      <c r="AD409" s="9"/>
      <c r="AE409" s="9"/>
      <c r="AF409" s="9"/>
      <c r="AG409" s="9"/>
      <c r="AH409" s="9"/>
      <c r="AI409" s="9"/>
      <c r="AJ409" s="9"/>
      <c r="AK409" s="9"/>
      <c r="AL409" s="9"/>
      <c r="AM409" s="9"/>
      <c r="AN409" s="9"/>
      <c r="AO409" s="9"/>
      <c r="AP409" s="9"/>
      <c r="AQ409" s="9"/>
      <c r="AR409" s="9"/>
      <c r="AS409" s="9"/>
      <c r="AT409" s="9"/>
      <c r="AU409" s="9"/>
      <c r="AV409" s="9"/>
      <c r="AW409" s="9"/>
      <c r="AX409" s="9"/>
    </row>
    <row r="410" spans="1:50" ht="15.75" customHeight="1" x14ac:dyDescent="0.2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212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  <c r="AA410" s="212"/>
      <c r="AB410" s="9"/>
      <c r="AC410" s="9"/>
      <c r="AD410" s="9"/>
      <c r="AE410" s="9"/>
      <c r="AF410" s="9"/>
      <c r="AG410" s="9"/>
      <c r="AH410" s="9"/>
      <c r="AI410" s="9"/>
      <c r="AJ410" s="9"/>
      <c r="AK410" s="9"/>
      <c r="AL410" s="9"/>
      <c r="AM410" s="9"/>
      <c r="AN410" s="9"/>
      <c r="AO410" s="9"/>
      <c r="AP410" s="9"/>
      <c r="AQ410" s="9"/>
      <c r="AR410" s="9"/>
      <c r="AS410" s="9"/>
      <c r="AT410" s="9"/>
      <c r="AU410" s="9"/>
      <c r="AV410" s="9"/>
      <c r="AW410" s="9"/>
      <c r="AX410" s="9"/>
    </row>
    <row r="411" spans="1:50" ht="15.75" customHeight="1" x14ac:dyDescent="0.2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212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  <c r="AA411" s="212"/>
      <c r="AB411" s="9"/>
      <c r="AC411" s="9"/>
      <c r="AD411" s="9"/>
      <c r="AE411" s="9"/>
      <c r="AF411" s="9"/>
      <c r="AG411" s="9"/>
      <c r="AH411" s="9"/>
      <c r="AI411" s="9"/>
      <c r="AJ411" s="9"/>
      <c r="AK411" s="9"/>
      <c r="AL411" s="9"/>
      <c r="AM411" s="9"/>
      <c r="AN411" s="9"/>
      <c r="AO411" s="9"/>
      <c r="AP411" s="9"/>
      <c r="AQ411" s="9"/>
      <c r="AR411" s="9"/>
      <c r="AS411" s="9"/>
      <c r="AT411" s="9"/>
      <c r="AU411" s="9"/>
      <c r="AV411" s="9"/>
      <c r="AW411" s="9"/>
      <c r="AX411" s="9"/>
    </row>
    <row r="412" spans="1:50" ht="15.75" customHeight="1" x14ac:dyDescent="0.2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212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  <c r="AA412" s="212"/>
      <c r="AB412" s="9"/>
      <c r="AC412" s="9"/>
      <c r="AD412" s="9"/>
      <c r="AE412" s="9"/>
      <c r="AF412" s="9"/>
      <c r="AG412" s="9"/>
      <c r="AH412" s="9"/>
      <c r="AI412" s="9"/>
      <c r="AJ412" s="9"/>
      <c r="AK412" s="9"/>
      <c r="AL412" s="9"/>
      <c r="AM412" s="9"/>
      <c r="AN412" s="9"/>
      <c r="AO412" s="9"/>
      <c r="AP412" s="9"/>
      <c r="AQ412" s="9"/>
      <c r="AR412" s="9"/>
      <c r="AS412" s="9"/>
      <c r="AT412" s="9"/>
      <c r="AU412" s="9"/>
      <c r="AV412" s="9"/>
      <c r="AW412" s="9"/>
      <c r="AX412" s="9"/>
    </row>
    <row r="413" spans="1:50" ht="15.75" customHeight="1" x14ac:dyDescent="0.2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212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  <c r="AA413" s="212"/>
      <c r="AB413" s="9"/>
      <c r="AC413" s="9"/>
      <c r="AD413" s="9"/>
      <c r="AE413" s="9"/>
      <c r="AF413" s="9"/>
      <c r="AG413" s="9"/>
      <c r="AH413" s="9"/>
      <c r="AI413" s="9"/>
      <c r="AJ413" s="9"/>
      <c r="AK413" s="9"/>
      <c r="AL413" s="9"/>
      <c r="AM413" s="9"/>
      <c r="AN413" s="9"/>
      <c r="AO413" s="9"/>
      <c r="AP413" s="9"/>
      <c r="AQ413" s="9"/>
      <c r="AR413" s="9"/>
      <c r="AS413" s="9"/>
      <c r="AT413" s="9"/>
      <c r="AU413" s="9"/>
      <c r="AV413" s="9"/>
      <c r="AW413" s="9"/>
      <c r="AX413" s="9"/>
    </row>
    <row r="414" spans="1:50" ht="15.75" customHeight="1" x14ac:dyDescent="0.2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212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  <c r="AA414" s="212"/>
      <c r="AB414" s="9"/>
      <c r="AC414" s="9"/>
      <c r="AD414" s="9"/>
      <c r="AE414" s="9"/>
      <c r="AF414" s="9"/>
      <c r="AG414" s="9"/>
      <c r="AH414" s="9"/>
      <c r="AI414" s="9"/>
      <c r="AJ414" s="9"/>
      <c r="AK414" s="9"/>
      <c r="AL414" s="9"/>
      <c r="AM414" s="9"/>
      <c r="AN414" s="9"/>
      <c r="AO414" s="9"/>
      <c r="AP414" s="9"/>
      <c r="AQ414" s="9"/>
      <c r="AR414" s="9"/>
      <c r="AS414" s="9"/>
      <c r="AT414" s="9"/>
      <c r="AU414" s="9"/>
      <c r="AV414" s="9"/>
      <c r="AW414" s="9"/>
      <c r="AX414" s="9"/>
    </row>
    <row r="415" spans="1:50" ht="15.75" customHeight="1" x14ac:dyDescent="0.2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212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  <c r="AA415" s="212"/>
      <c r="AB415" s="9"/>
      <c r="AC415" s="9"/>
      <c r="AD415" s="9"/>
      <c r="AE415" s="9"/>
      <c r="AF415" s="9"/>
      <c r="AG415" s="9"/>
      <c r="AH415" s="9"/>
      <c r="AI415" s="9"/>
      <c r="AJ415" s="9"/>
      <c r="AK415" s="9"/>
      <c r="AL415" s="9"/>
      <c r="AM415" s="9"/>
      <c r="AN415" s="9"/>
      <c r="AO415" s="9"/>
      <c r="AP415" s="9"/>
      <c r="AQ415" s="9"/>
      <c r="AR415" s="9"/>
      <c r="AS415" s="9"/>
      <c r="AT415" s="9"/>
      <c r="AU415" s="9"/>
      <c r="AV415" s="9"/>
      <c r="AW415" s="9"/>
      <c r="AX415" s="9"/>
    </row>
    <row r="416" spans="1:50" ht="15.75" customHeight="1" x14ac:dyDescent="0.2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212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  <c r="AA416" s="212"/>
      <c r="AB416" s="9"/>
      <c r="AC416" s="9"/>
      <c r="AD416" s="9"/>
      <c r="AE416" s="9"/>
      <c r="AF416" s="9"/>
      <c r="AG416" s="9"/>
      <c r="AH416" s="9"/>
      <c r="AI416" s="9"/>
      <c r="AJ416" s="9"/>
      <c r="AK416" s="9"/>
      <c r="AL416" s="9"/>
      <c r="AM416" s="9"/>
      <c r="AN416" s="9"/>
      <c r="AO416" s="9"/>
      <c r="AP416" s="9"/>
      <c r="AQ416" s="9"/>
      <c r="AR416" s="9"/>
      <c r="AS416" s="9"/>
      <c r="AT416" s="9"/>
      <c r="AU416" s="9"/>
      <c r="AV416" s="9"/>
      <c r="AW416" s="9"/>
      <c r="AX416" s="9"/>
    </row>
    <row r="417" spans="1:50" ht="15.75" customHeight="1" x14ac:dyDescent="0.2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212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  <c r="AA417" s="212"/>
      <c r="AB417" s="9"/>
      <c r="AC417" s="9"/>
      <c r="AD417" s="9"/>
      <c r="AE417" s="9"/>
      <c r="AF417" s="9"/>
      <c r="AG417" s="9"/>
      <c r="AH417" s="9"/>
      <c r="AI417" s="9"/>
      <c r="AJ417" s="9"/>
      <c r="AK417" s="9"/>
      <c r="AL417" s="9"/>
      <c r="AM417" s="9"/>
      <c r="AN417" s="9"/>
      <c r="AO417" s="9"/>
      <c r="AP417" s="9"/>
      <c r="AQ417" s="9"/>
      <c r="AR417" s="9"/>
      <c r="AS417" s="9"/>
      <c r="AT417" s="9"/>
      <c r="AU417" s="9"/>
      <c r="AV417" s="9"/>
      <c r="AW417" s="9"/>
      <c r="AX417" s="9"/>
    </row>
    <row r="418" spans="1:50" ht="15.75" customHeight="1" x14ac:dyDescent="0.2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212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  <c r="AA418" s="212"/>
      <c r="AB418" s="9"/>
      <c r="AC418" s="9"/>
      <c r="AD418" s="9"/>
      <c r="AE418" s="9"/>
      <c r="AF418" s="9"/>
      <c r="AG418" s="9"/>
      <c r="AH418" s="9"/>
      <c r="AI418" s="9"/>
      <c r="AJ418" s="9"/>
      <c r="AK418" s="9"/>
      <c r="AL418" s="9"/>
      <c r="AM418" s="9"/>
      <c r="AN418" s="9"/>
      <c r="AO418" s="9"/>
      <c r="AP418" s="9"/>
      <c r="AQ418" s="9"/>
      <c r="AR418" s="9"/>
      <c r="AS418" s="9"/>
      <c r="AT418" s="9"/>
      <c r="AU418" s="9"/>
      <c r="AV418" s="9"/>
      <c r="AW418" s="9"/>
      <c r="AX418" s="9"/>
    </row>
    <row r="419" spans="1:50" ht="15.75" customHeight="1" x14ac:dyDescent="0.2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212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  <c r="AA419" s="212"/>
      <c r="AB419" s="9"/>
      <c r="AC419" s="9"/>
      <c r="AD419" s="9"/>
      <c r="AE419" s="9"/>
      <c r="AF419" s="9"/>
      <c r="AG419" s="9"/>
      <c r="AH419" s="9"/>
      <c r="AI419" s="9"/>
      <c r="AJ419" s="9"/>
      <c r="AK419" s="9"/>
      <c r="AL419" s="9"/>
      <c r="AM419" s="9"/>
      <c r="AN419" s="9"/>
      <c r="AO419" s="9"/>
      <c r="AP419" s="9"/>
      <c r="AQ419" s="9"/>
      <c r="AR419" s="9"/>
      <c r="AS419" s="9"/>
      <c r="AT419" s="9"/>
      <c r="AU419" s="9"/>
      <c r="AV419" s="9"/>
      <c r="AW419" s="9"/>
      <c r="AX419" s="9"/>
    </row>
    <row r="420" spans="1:50" ht="15.75" customHeight="1" x14ac:dyDescent="0.2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212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  <c r="AA420" s="212"/>
      <c r="AB420" s="9"/>
      <c r="AC420" s="9"/>
      <c r="AD420" s="9"/>
      <c r="AE420" s="9"/>
      <c r="AF420" s="9"/>
      <c r="AG420" s="9"/>
      <c r="AH420" s="9"/>
      <c r="AI420" s="9"/>
      <c r="AJ420" s="9"/>
      <c r="AK420" s="9"/>
      <c r="AL420" s="9"/>
      <c r="AM420" s="9"/>
      <c r="AN420" s="9"/>
      <c r="AO420" s="9"/>
      <c r="AP420" s="9"/>
      <c r="AQ420" s="9"/>
      <c r="AR420" s="9"/>
      <c r="AS420" s="9"/>
      <c r="AT420" s="9"/>
      <c r="AU420" s="9"/>
      <c r="AV420" s="9"/>
      <c r="AW420" s="9"/>
      <c r="AX420" s="9"/>
    </row>
    <row r="421" spans="1:50" ht="15.75" customHeight="1" x14ac:dyDescent="0.2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212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  <c r="AA421" s="212"/>
      <c r="AB421" s="9"/>
      <c r="AC421" s="9"/>
      <c r="AD421" s="9"/>
      <c r="AE421" s="9"/>
      <c r="AF421" s="9"/>
      <c r="AG421" s="9"/>
      <c r="AH421" s="9"/>
      <c r="AI421" s="9"/>
      <c r="AJ421" s="9"/>
      <c r="AK421" s="9"/>
      <c r="AL421" s="9"/>
      <c r="AM421" s="9"/>
      <c r="AN421" s="9"/>
      <c r="AO421" s="9"/>
      <c r="AP421" s="9"/>
      <c r="AQ421" s="9"/>
      <c r="AR421" s="9"/>
      <c r="AS421" s="9"/>
      <c r="AT421" s="9"/>
      <c r="AU421" s="9"/>
      <c r="AV421" s="9"/>
      <c r="AW421" s="9"/>
      <c r="AX421" s="9"/>
    </row>
    <row r="422" spans="1:50" ht="15.75" customHeight="1" x14ac:dyDescent="0.2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212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  <c r="AA422" s="212"/>
      <c r="AB422" s="9"/>
      <c r="AC422" s="9"/>
      <c r="AD422" s="9"/>
      <c r="AE422" s="9"/>
      <c r="AF422" s="9"/>
      <c r="AG422" s="9"/>
      <c r="AH422" s="9"/>
      <c r="AI422" s="9"/>
      <c r="AJ422" s="9"/>
      <c r="AK422" s="9"/>
      <c r="AL422" s="9"/>
      <c r="AM422" s="9"/>
      <c r="AN422" s="9"/>
      <c r="AO422" s="9"/>
      <c r="AP422" s="9"/>
      <c r="AQ422" s="9"/>
      <c r="AR422" s="9"/>
      <c r="AS422" s="9"/>
      <c r="AT422" s="9"/>
      <c r="AU422" s="9"/>
      <c r="AV422" s="9"/>
      <c r="AW422" s="9"/>
      <c r="AX422" s="9"/>
    </row>
    <row r="423" spans="1:50" ht="15.75" customHeight="1" x14ac:dyDescent="0.2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212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  <c r="AA423" s="212"/>
      <c r="AB423" s="9"/>
      <c r="AC423" s="9"/>
      <c r="AD423" s="9"/>
      <c r="AE423" s="9"/>
      <c r="AF423" s="9"/>
      <c r="AG423" s="9"/>
      <c r="AH423" s="9"/>
      <c r="AI423" s="9"/>
      <c r="AJ423" s="9"/>
      <c r="AK423" s="9"/>
      <c r="AL423" s="9"/>
      <c r="AM423" s="9"/>
      <c r="AN423" s="9"/>
      <c r="AO423" s="9"/>
      <c r="AP423" s="9"/>
      <c r="AQ423" s="9"/>
      <c r="AR423" s="9"/>
      <c r="AS423" s="9"/>
      <c r="AT423" s="9"/>
      <c r="AU423" s="9"/>
      <c r="AV423" s="9"/>
      <c r="AW423" s="9"/>
      <c r="AX423" s="9"/>
    </row>
    <row r="424" spans="1:50" ht="15.75" customHeight="1" x14ac:dyDescent="0.2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212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  <c r="AA424" s="212"/>
      <c r="AB424" s="9"/>
      <c r="AC424" s="9"/>
      <c r="AD424" s="9"/>
      <c r="AE424" s="9"/>
      <c r="AF424" s="9"/>
      <c r="AG424" s="9"/>
      <c r="AH424" s="9"/>
      <c r="AI424" s="9"/>
      <c r="AJ424" s="9"/>
      <c r="AK424" s="9"/>
      <c r="AL424" s="9"/>
      <c r="AM424" s="9"/>
      <c r="AN424" s="9"/>
      <c r="AO424" s="9"/>
      <c r="AP424" s="9"/>
      <c r="AQ424" s="9"/>
      <c r="AR424" s="9"/>
      <c r="AS424" s="9"/>
      <c r="AT424" s="9"/>
      <c r="AU424" s="9"/>
      <c r="AV424" s="9"/>
      <c r="AW424" s="9"/>
      <c r="AX424" s="9"/>
    </row>
    <row r="425" spans="1:50" ht="15.75" customHeight="1" x14ac:dyDescent="0.2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212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  <c r="AA425" s="212"/>
      <c r="AB425" s="9"/>
      <c r="AC425" s="9"/>
      <c r="AD425" s="9"/>
      <c r="AE425" s="9"/>
      <c r="AF425" s="9"/>
      <c r="AG425" s="9"/>
      <c r="AH425" s="9"/>
      <c r="AI425" s="9"/>
      <c r="AJ425" s="9"/>
      <c r="AK425" s="9"/>
      <c r="AL425" s="9"/>
      <c r="AM425" s="9"/>
      <c r="AN425" s="9"/>
      <c r="AO425" s="9"/>
      <c r="AP425" s="9"/>
      <c r="AQ425" s="9"/>
      <c r="AR425" s="9"/>
      <c r="AS425" s="9"/>
      <c r="AT425" s="9"/>
      <c r="AU425" s="9"/>
      <c r="AV425" s="9"/>
      <c r="AW425" s="9"/>
      <c r="AX425" s="9"/>
    </row>
    <row r="426" spans="1:50" ht="15.75" customHeight="1" x14ac:dyDescent="0.2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212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  <c r="AA426" s="212"/>
      <c r="AB426" s="9"/>
      <c r="AC426" s="9"/>
      <c r="AD426" s="9"/>
      <c r="AE426" s="9"/>
      <c r="AF426" s="9"/>
      <c r="AG426" s="9"/>
      <c r="AH426" s="9"/>
      <c r="AI426" s="9"/>
      <c r="AJ426" s="9"/>
      <c r="AK426" s="9"/>
      <c r="AL426" s="9"/>
      <c r="AM426" s="9"/>
      <c r="AN426" s="9"/>
      <c r="AO426" s="9"/>
      <c r="AP426" s="9"/>
      <c r="AQ426" s="9"/>
      <c r="AR426" s="9"/>
      <c r="AS426" s="9"/>
      <c r="AT426" s="9"/>
      <c r="AU426" s="9"/>
      <c r="AV426" s="9"/>
      <c r="AW426" s="9"/>
      <c r="AX426" s="9"/>
    </row>
    <row r="427" spans="1:50" ht="15.75" customHeight="1" x14ac:dyDescent="0.2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212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  <c r="AA427" s="212"/>
      <c r="AB427" s="9"/>
      <c r="AC427" s="9"/>
      <c r="AD427" s="9"/>
      <c r="AE427" s="9"/>
      <c r="AF427" s="9"/>
      <c r="AG427" s="9"/>
      <c r="AH427" s="9"/>
      <c r="AI427" s="9"/>
      <c r="AJ427" s="9"/>
      <c r="AK427" s="9"/>
      <c r="AL427" s="9"/>
      <c r="AM427" s="9"/>
      <c r="AN427" s="9"/>
      <c r="AO427" s="9"/>
      <c r="AP427" s="9"/>
      <c r="AQ427" s="9"/>
      <c r="AR427" s="9"/>
      <c r="AS427" s="9"/>
      <c r="AT427" s="9"/>
      <c r="AU427" s="9"/>
      <c r="AV427" s="9"/>
      <c r="AW427" s="9"/>
      <c r="AX427" s="9"/>
    </row>
    <row r="428" spans="1:50" ht="15.75" customHeight="1" x14ac:dyDescent="0.2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212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  <c r="AA428" s="212"/>
      <c r="AB428" s="9"/>
      <c r="AC428" s="9"/>
      <c r="AD428" s="9"/>
      <c r="AE428" s="9"/>
      <c r="AF428" s="9"/>
      <c r="AG428" s="9"/>
      <c r="AH428" s="9"/>
      <c r="AI428" s="9"/>
      <c r="AJ428" s="9"/>
      <c r="AK428" s="9"/>
      <c r="AL428" s="9"/>
      <c r="AM428" s="9"/>
      <c r="AN428" s="9"/>
      <c r="AO428" s="9"/>
      <c r="AP428" s="9"/>
      <c r="AQ428" s="9"/>
      <c r="AR428" s="9"/>
      <c r="AS428" s="9"/>
      <c r="AT428" s="9"/>
      <c r="AU428" s="9"/>
      <c r="AV428" s="9"/>
      <c r="AW428" s="9"/>
      <c r="AX428" s="9"/>
    </row>
    <row r="429" spans="1:50" ht="15.75" customHeight="1" x14ac:dyDescent="0.2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212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  <c r="AA429" s="212"/>
      <c r="AB429" s="9"/>
      <c r="AC429" s="9"/>
      <c r="AD429" s="9"/>
      <c r="AE429" s="9"/>
      <c r="AF429" s="9"/>
      <c r="AG429" s="9"/>
      <c r="AH429" s="9"/>
      <c r="AI429" s="9"/>
      <c r="AJ429" s="9"/>
      <c r="AK429" s="9"/>
      <c r="AL429" s="9"/>
      <c r="AM429" s="9"/>
      <c r="AN429" s="9"/>
      <c r="AO429" s="9"/>
      <c r="AP429" s="9"/>
      <c r="AQ429" s="9"/>
      <c r="AR429" s="9"/>
      <c r="AS429" s="9"/>
      <c r="AT429" s="9"/>
      <c r="AU429" s="9"/>
      <c r="AV429" s="9"/>
      <c r="AW429" s="9"/>
      <c r="AX429" s="9"/>
    </row>
    <row r="430" spans="1:50" ht="15.75" customHeight="1" x14ac:dyDescent="0.2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212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  <c r="AA430" s="212"/>
      <c r="AB430" s="9"/>
      <c r="AC430" s="9"/>
      <c r="AD430" s="9"/>
      <c r="AE430" s="9"/>
      <c r="AF430" s="9"/>
      <c r="AG430" s="9"/>
      <c r="AH430" s="9"/>
      <c r="AI430" s="9"/>
      <c r="AJ430" s="9"/>
      <c r="AK430" s="9"/>
      <c r="AL430" s="9"/>
      <c r="AM430" s="9"/>
      <c r="AN430" s="9"/>
      <c r="AO430" s="9"/>
      <c r="AP430" s="9"/>
      <c r="AQ430" s="9"/>
      <c r="AR430" s="9"/>
      <c r="AS430" s="9"/>
      <c r="AT430" s="9"/>
      <c r="AU430" s="9"/>
      <c r="AV430" s="9"/>
      <c r="AW430" s="9"/>
      <c r="AX430" s="9"/>
    </row>
    <row r="431" spans="1:50" ht="15.75" customHeight="1" x14ac:dyDescent="0.2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212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  <c r="AA431" s="212"/>
      <c r="AB431" s="9"/>
      <c r="AC431" s="9"/>
      <c r="AD431" s="9"/>
      <c r="AE431" s="9"/>
      <c r="AF431" s="9"/>
      <c r="AG431" s="9"/>
      <c r="AH431" s="9"/>
      <c r="AI431" s="9"/>
      <c r="AJ431" s="9"/>
      <c r="AK431" s="9"/>
      <c r="AL431" s="9"/>
      <c r="AM431" s="9"/>
      <c r="AN431" s="9"/>
      <c r="AO431" s="9"/>
      <c r="AP431" s="9"/>
      <c r="AQ431" s="9"/>
      <c r="AR431" s="9"/>
      <c r="AS431" s="9"/>
      <c r="AT431" s="9"/>
      <c r="AU431" s="9"/>
      <c r="AV431" s="9"/>
      <c r="AW431" s="9"/>
      <c r="AX431" s="9"/>
    </row>
    <row r="432" spans="1:50" ht="15.75" customHeight="1" x14ac:dyDescent="0.2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212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  <c r="AA432" s="212"/>
      <c r="AB432" s="9"/>
      <c r="AC432" s="9"/>
      <c r="AD432" s="9"/>
      <c r="AE432" s="9"/>
      <c r="AF432" s="9"/>
      <c r="AG432" s="9"/>
      <c r="AH432" s="9"/>
      <c r="AI432" s="9"/>
      <c r="AJ432" s="9"/>
      <c r="AK432" s="9"/>
      <c r="AL432" s="9"/>
      <c r="AM432" s="9"/>
      <c r="AN432" s="9"/>
      <c r="AO432" s="9"/>
      <c r="AP432" s="9"/>
      <c r="AQ432" s="9"/>
      <c r="AR432" s="9"/>
      <c r="AS432" s="9"/>
      <c r="AT432" s="9"/>
      <c r="AU432" s="9"/>
      <c r="AV432" s="9"/>
      <c r="AW432" s="9"/>
      <c r="AX432" s="9"/>
    </row>
    <row r="433" spans="1:50" ht="15.75" customHeight="1" x14ac:dyDescent="0.2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212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  <c r="AA433" s="212"/>
      <c r="AB433" s="9"/>
      <c r="AC433" s="9"/>
      <c r="AD433" s="9"/>
      <c r="AE433" s="9"/>
      <c r="AF433" s="9"/>
      <c r="AG433" s="9"/>
      <c r="AH433" s="9"/>
      <c r="AI433" s="9"/>
      <c r="AJ433" s="9"/>
      <c r="AK433" s="9"/>
      <c r="AL433" s="9"/>
      <c r="AM433" s="9"/>
      <c r="AN433" s="9"/>
      <c r="AO433" s="9"/>
      <c r="AP433" s="9"/>
      <c r="AQ433" s="9"/>
      <c r="AR433" s="9"/>
      <c r="AS433" s="9"/>
      <c r="AT433" s="9"/>
      <c r="AU433" s="9"/>
      <c r="AV433" s="9"/>
      <c r="AW433" s="9"/>
      <c r="AX433" s="9"/>
    </row>
    <row r="434" spans="1:50" ht="15.75" customHeight="1" x14ac:dyDescent="0.2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212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  <c r="AA434" s="212"/>
      <c r="AB434" s="9"/>
      <c r="AC434" s="9"/>
      <c r="AD434" s="9"/>
      <c r="AE434" s="9"/>
      <c r="AF434" s="9"/>
      <c r="AG434" s="9"/>
      <c r="AH434" s="9"/>
      <c r="AI434" s="9"/>
      <c r="AJ434" s="9"/>
      <c r="AK434" s="9"/>
      <c r="AL434" s="9"/>
      <c r="AM434" s="9"/>
      <c r="AN434" s="9"/>
      <c r="AO434" s="9"/>
      <c r="AP434" s="9"/>
      <c r="AQ434" s="9"/>
      <c r="AR434" s="9"/>
      <c r="AS434" s="9"/>
      <c r="AT434" s="9"/>
      <c r="AU434" s="9"/>
      <c r="AV434" s="9"/>
      <c r="AW434" s="9"/>
      <c r="AX434" s="9"/>
    </row>
    <row r="435" spans="1:50" ht="15.75" customHeight="1" x14ac:dyDescent="0.2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212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  <c r="AA435" s="212"/>
      <c r="AB435" s="9"/>
      <c r="AC435" s="9"/>
      <c r="AD435" s="9"/>
      <c r="AE435" s="9"/>
      <c r="AF435" s="9"/>
      <c r="AG435" s="9"/>
      <c r="AH435" s="9"/>
      <c r="AI435" s="9"/>
      <c r="AJ435" s="9"/>
      <c r="AK435" s="9"/>
      <c r="AL435" s="9"/>
      <c r="AM435" s="9"/>
      <c r="AN435" s="9"/>
      <c r="AO435" s="9"/>
      <c r="AP435" s="9"/>
      <c r="AQ435" s="9"/>
      <c r="AR435" s="9"/>
      <c r="AS435" s="9"/>
      <c r="AT435" s="9"/>
      <c r="AU435" s="9"/>
      <c r="AV435" s="9"/>
      <c r="AW435" s="9"/>
      <c r="AX435" s="9"/>
    </row>
    <row r="436" spans="1:50" ht="15.75" customHeight="1" x14ac:dyDescent="0.2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212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  <c r="AA436" s="212"/>
      <c r="AB436" s="9"/>
      <c r="AC436" s="9"/>
      <c r="AD436" s="9"/>
      <c r="AE436" s="9"/>
      <c r="AF436" s="9"/>
      <c r="AG436" s="9"/>
      <c r="AH436" s="9"/>
      <c r="AI436" s="9"/>
      <c r="AJ436" s="9"/>
      <c r="AK436" s="9"/>
      <c r="AL436" s="9"/>
      <c r="AM436" s="9"/>
      <c r="AN436" s="9"/>
      <c r="AO436" s="9"/>
      <c r="AP436" s="9"/>
      <c r="AQ436" s="9"/>
      <c r="AR436" s="9"/>
      <c r="AS436" s="9"/>
      <c r="AT436" s="9"/>
      <c r="AU436" s="9"/>
      <c r="AV436" s="9"/>
      <c r="AW436" s="9"/>
      <c r="AX436" s="9"/>
    </row>
    <row r="437" spans="1:50" ht="15.75" customHeight="1" x14ac:dyDescent="0.2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212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  <c r="AA437" s="212"/>
      <c r="AB437" s="9"/>
      <c r="AC437" s="9"/>
      <c r="AD437" s="9"/>
      <c r="AE437" s="9"/>
      <c r="AF437" s="9"/>
      <c r="AG437" s="9"/>
      <c r="AH437" s="9"/>
      <c r="AI437" s="9"/>
      <c r="AJ437" s="9"/>
      <c r="AK437" s="9"/>
      <c r="AL437" s="9"/>
      <c r="AM437" s="9"/>
      <c r="AN437" s="9"/>
      <c r="AO437" s="9"/>
      <c r="AP437" s="9"/>
      <c r="AQ437" s="9"/>
      <c r="AR437" s="9"/>
      <c r="AS437" s="9"/>
      <c r="AT437" s="9"/>
      <c r="AU437" s="9"/>
      <c r="AV437" s="9"/>
      <c r="AW437" s="9"/>
      <c r="AX437" s="9"/>
    </row>
    <row r="438" spans="1:50" ht="15.75" customHeight="1" x14ac:dyDescent="0.2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212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  <c r="AA438" s="212"/>
      <c r="AB438" s="9"/>
      <c r="AC438" s="9"/>
      <c r="AD438" s="9"/>
      <c r="AE438" s="9"/>
      <c r="AF438" s="9"/>
      <c r="AG438" s="9"/>
      <c r="AH438" s="9"/>
      <c r="AI438" s="9"/>
      <c r="AJ438" s="9"/>
      <c r="AK438" s="9"/>
      <c r="AL438" s="9"/>
      <c r="AM438" s="9"/>
      <c r="AN438" s="9"/>
      <c r="AO438" s="9"/>
      <c r="AP438" s="9"/>
      <c r="AQ438" s="9"/>
      <c r="AR438" s="9"/>
      <c r="AS438" s="9"/>
      <c r="AT438" s="9"/>
      <c r="AU438" s="9"/>
      <c r="AV438" s="9"/>
      <c r="AW438" s="9"/>
      <c r="AX438" s="9"/>
    </row>
    <row r="439" spans="1:50" ht="15.75" customHeight="1" x14ac:dyDescent="0.2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212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  <c r="AA439" s="212"/>
      <c r="AB439" s="9"/>
      <c r="AC439" s="9"/>
      <c r="AD439" s="9"/>
      <c r="AE439" s="9"/>
      <c r="AF439" s="9"/>
      <c r="AG439" s="9"/>
      <c r="AH439" s="9"/>
      <c r="AI439" s="9"/>
      <c r="AJ439" s="9"/>
      <c r="AK439" s="9"/>
      <c r="AL439" s="9"/>
      <c r="AM439" s="9"/>
      <c r="AN439" s="9"/>
      <c r="AO439" s="9"/>
      <c r="AP439" s="9"/>
      <c r="AQ439" s="9"/>
      <c r="AR439" s="9"/>
      <c r="AS439" s="9"/>
      <c r="AT439" s="9"/>
      <c r="AU439" s="9"/>
      <c r="AV439" s="9"/>
      <c r="AW439" s="9"/>
      <c r="AX439" s="9"/>
    </row>
    <row r="440" spans="1:50" ht="15.75" customHeight="1" x14ac:dyDescent="0.2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212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  <c r="AA440" s="212"/>
      <c r="AB440" s="9"/>
      <c r="AC440" s="9"/>
      <c r="AD440" s="9"/>
      <c r="AE440" s="9"/>
      <c r="AF440" s="9"/>
      <c r="AG440" s="9"/>
      <c r="AH440" s="9"/>
      <c r="AI440" s="9"/>
      <c r="AJ440" s="9"/>
      <c r="AK440" s="9"/>
      <c r="AL440" s="9"/>
      <c r="AM440" s="9"/>
      <c r="AN440" s="9"/>
      <c r="AO440" s="9"/>
      <c r="AP440" s="9"/>
      <c r="AQ440" s="9"/>
      <c r="AR440" s="9"/>
      <c r="AS440" s="9"/>
      <c r="AT440" s="9"/>
      <c r="AU440" s="9"/>
      <c r="AV440" s="9"/>
      <c r="AW440" s="9"/>
      <c r="AX440" s="9"/>
    </row>
    <row r="441" spans="1:50" ht="15.75" customHeight="1" x14ac:dyDescent="0.2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212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  <c r="AA441" s="212"/>
      <c r="AB441" s="9"/>
      <c r="AC441" s="9"/>
      <c r="AD441" s="9"/>
      <c r="AE441" s="9"/>
      <c r="AF441" s="9"/>
      <c r="AG441" s="9"/>
      <c r="AH441" s="9"/>
      <c r="AI441" s="9"/>
      <c r="AJ441" s="9"/>
      <c r="AK441" s="9"/>
      <c r="AL441" s="9"/>
      <c r="AM441" s="9"/>
      <c r="AN441" s="9"/>
      <c r="AO441" s="9"/>
      <c r="AP441" s="9"/>
      <c r="AQ441" s="9"/>
      <c r="AR441" s="9"/>
      <c r="AS441" s="9"/>
      <c r="AT441" s="9"/>
      <c r="AU441" s="9"/>
      <c r="AV441" s="9"/>
      <c r="AW441" s="9"/>
      <c r="AX441" s="9"/>
    </row>
    <row r="442" spans="1:50" ht="15.75" customHeight="1" x14ac:dyDescent="0.2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212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  <c r="AA442" s="212"/>
      <c r="AB442" s="9"/>
      <c r="AC442" s="9"/>
      <c r="AD442" s="9"/>
      <c r="AE442" s="9"/>
      <c r="AF442" s="9"/>
      <c r="AG442" s="9"/>
      <c r="AH442" s="9"/>
      <c r="AI442" s="9"/>
      <c r="AJ442" s="9"/>
      <c r="AK442" s="9"/>
      <c r="AL442" s="9"/>
      <c r="AM442" s="9"/>
      <c r="AN442" s="9"/>
      <c r="AO442" s="9"/>
      <c r="AP442" s="9"/>
      <c r="AQ442" s="9"/>
      <c r="AR442" s="9"/>
      <c r="AS442" s="9"/>
      <c r="AT442" s="9"/>
      <c r="AU442" s="9"/>
      <c r="AV442" s="9"/>
      <c r="AW442" s="9"/>
      <c r="AX442" s="9"/>
    </row>
    <row r="443" spans="1:50" ht="15.75" customHeight="1" x14ac:dyDescent="0.2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212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  <c r="AA443" s="212"/>
      <c r="AB443" s="9"/>
      <c r="AC443" s="9"/>
      <c r="AD443" s="9"/>
      <c r="AE443" s="9"/>
      <c r="AF443" s="9"/>
      <c r="AG443" s="9"/>
      <c r="AH443" s="9"/>
      <c r="AI443" s="9"/>
      <c r="AJ443" s="9"/>
      <c r="AK443" s="9"/>
      <c r="AL443" s="9"/>
      <c r="AM443" s="9"/>
      <c r="AN443" s="9"/>
      <c r="AO443" s="9"/>
      <c r="AP443" s="9"/>
      <c r="AQ443" s="9"/>
      <c r="AR443" s="9"/>
      <c r="AS443" s="9"/>
      <c r="AT443" s="9"/>
      <c r="AU443" s="9"/>
      <c r="AV443" s="9"/>
      <c r="AW443" s="9"/>
      <c r="AX443" s="9"/>
    </row>
    <row r="444" spans="1:50" ht="15.75" customHeight="1" x14ac:dyDescent="0.2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212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  <c r="AA444" s="212"/>
      <c r="AB444" s="9"/>
      <c r="AC444" s="9"/>
      <c r="AD444" s="9"/>
      <c r="AE444" s="9"/>
      <c r="AF444" s="9"/>
      <c r="AG444" s="9"/>
      <c r="AH444" s="9"/>
      <c r="AI444" s="9"/>
      <c r="AJ444" s="9"/>
      <c r="AK444" s="9"/>
      <c r="AL444" s="9"/>
      <c r="AM444" s="9"/>
      <c r="AN444" s="9"/>
      <c r="AO444" s="9"/>
      <c r="AP444" s="9"/>
      <c r="AQ444" s="9"/>
      <c r="AR444" s="9"/>
      <c r="AS444" s="9"/>
      <c r="AT444" s="9"/>
      <c r="AU444" s="9"/>
      <c r="AV444" s="9"/>
      <c r="AW444" s="9"/>
      <c r="AX444" s="9"/>
    </row>
    <row r="445" spans="1:50" ht="15.75" customHeight="1" x14ac:dyDescent="0.2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212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  <c r="AA445" s="212"/>
      <c r="AB445" s="9"/>
      <c r="AC445" s="9"/>
      <c r="AD445" s="9"/>
      <c r="AE445" s="9"/>
      <c r="AF445" s="9"/>
      <c r="AG445" s="9"/>
      <c r="AH445" s="9"/>
      <c r="AI445" s="9"/>
      <c r="AJ445" s="9"/>
      <c r="AK445" s="9"/>
      <c r="AL445" s="9"/>
      <c r="AM445" s="9"/>
      <c r="AN445" s="9"/>
      <c r="AO445" s="9"/>
      <c r="AP445" s="9"/>
      <c r="AQ445" s="9"/>
      <c r="AR445" s="9"/>
      <c r="AS445" s="9"/>
      <c r="AT445" s="9"/>
      <c r="AU445" s="9"/>
      <c r="AV445" s="9"/>
      <c r="AW445" s="9"/>
      <c r="AX445" s="9"/>
    </row>
    <row r="446" spans="1:50" ht="15.75" customHeight="1" x14ac:dyDescent="0.2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212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  <c r="AA446" s="212"/>
      <c r="AB446" s="9"/>
      <c r="AC446" s="9"/>
      <c r="AD446" s="9"/>
      <c r="AE446" s="9"/>
      <c r="AF446" s="9"/>
      <c r="AG446" s="9"/>
      <c r="AH446" s="9"/>
      <c r="AI446" s="9"/>
      <c r="AJ446" s="9"/>
      <c r="AK446" s="9"/>
      <c r="AL446" s="9"/>
      <c r="AM446" s="9"/>
      <c r="AN446" s="9"/>
      <c r="AO446" s="9"/>
      <c r="AP446" s="9"/>
      <c r="AQ446" s="9"/>
      <c r="AR446" s="9"/>
      <c r="AS446" s="9"/>
      <c r="AT446" s="9"/>
      <c r="AU446" s="9"/>
      <c r="AV446" s="9"/>
      <c r="AW446" s="9"/>
      <c r="AX446" s="9"/>
    </row>
    <row r="447" spans="1:50" ht="15.75" customHeight="1" x14ac:dyDescent="0.2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212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  <c r="AA447" s="212"/>
      <c r="AB447" s="9"/>
      <c r="AC447" s="9"/>
      <c r="AD447" s="9"/>
      <c r="AE447" s="9"/>
      <c r="AF447" s="9"/>
      <c r="AG447" s="9"/>
      <c r="AH447" s="9"/>
      <c r="AI447" s="9"/>
      <c r="AJ447" s="9"/>
      <c r="AK447" s="9"/>
      <c r="AL447" s="9"/>
      <c r="AM447" s="9"/>
      <c r="AN447" s="9"/>
      <c r="AO447" s="9"/>
      <c r="AP447" s="9"/>
      <c r="AQ447" s="9"/>
      <c r="AR447" s="9"/>
      <c r="AS447" s="9"/>
      <c r="AT447" s="9"/>
      <c r="AU447" s="9"/>
      <c r="AV447" s="9"/>
      <c r="AW447" s="9"/>
      <c r="AX447" s="9"/>
    </row>
    <row r="448" spans="1:50" ht="15.75" customHeight="1" x14ac:dyDescent="0.2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212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  <c r="AA448" s="212"/>
      <c r="AB448" s="9"/>
      <c r="AC448" s="9"/>
      <c r="AD448" s="9"/>
      <c r="AE448" s="9"/>
      <c r="AF448" s="9"/>
      <c r="AG448" s="9"/>
      <c r="AH448" s="9"/>
      <c r="AI448" s="9"/>
      <c r="AJ448" s="9"/>
      <c r="AK448" s="9"/>
      <c r="AL448" s="9"/>
      <c r="AM448" s="9"/>
      <c r="AN448" s="9"/>
      <c r="AO448" s="9"/>
      <c r="AP448" s="9"/>
      <c r="AQ448" s="9"/>
      <c r="AR448" s="9"/>
      <c r="AS448" s="9"/>
      <c r="AT448" s="9"/>
      <c r="AU448" s="9"/>
      <c r="AV448" s="9"/>
      <c r="AW448" s="9"/>
      <c r="AX448" s="9"/>
    </row>
    <row r="449" spans="1:50" ht="15.75" customHeight="1" x14ac:dyDescent="0.2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212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  <c r="AA449" s="212"/>
      <c r="AB449" s="9"/>
      <c r="AC449" s="9"/>
      <c r="AD449" s="9"/>
      <c r="AE449" s="9"/>
      <c r="AF449" s="9"/>
      <c r="AG449" s="9"/>
      <c r="AH449" s="9"/>
      <c r="AI449" s="9"/>
      <c r="AJ449" s="9"/>
      <c r="AK449" s="9"/>
      <c r="AL449" s="9"/>
      <c r="AM449" s="9"/>
      <c r="AN449" s="9"/>
      <c r="AO449" s="9"/>
      <c r="AP449" s="9"/>
      <c r="AQ449" s="9"/>
      <c r="AR449" s="9"/>
      <c r="AS449" s="9"/>
      <c r="AT449" s="9"/>
      <c r="AU449" s="9"/>
      <c r="AV449" s="9"/>
      <c r="AW449" s="9"/>
      <c r="AX449" s="9"/>
    </row>
    <row r="450" spans="1:50" ht="15.75" customHeight="1" x14ac:dyDescent="0.2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212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  <c r="AA450" s="212"/>
      <c r="AB450" s="9"/>
      <c r="AC450" s="9"/>
      <c r="AD450" s="9"/>
      <c r="AE450" s="9"/>
      <c r="AF450" s="9"/>
      <c r="AG450" s="9"/>
      <c r="AH450" s="9"/>
      <c r="AI450" s="9"/>
      <c r="AJ450" s="9"/>
      <c r="AK450" s="9"/>
      <c r="AL450" s="9"/>
      <c r="AM450" s="9"/>
      <c r="AN450" s="9"/>
      <c r="AO450" s="9"/>
      <c r="AP450" s="9"/>
      <c r="AQ450" s="9"/>
      <c r="AR450" s="9"/>
      <c r="AS450" s="9"/>
      <c r="AT450" s="9"/>
      <c r="AU450" s="9"/>
      <c r="AV450" s="9"/>
      <c r="AW450" s="9"/>
      <c r="AX450" s="9"/>
    </row>
    <row r="451" spans="1:50" ht="15.75" customHeight="1" x14ac:dyDescent="0.2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212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  <c r="AA451" s="212"/>
      <c r="AB451" s="9"/>
      <c r="AC451" s="9"/>
      <c r="AD451" s="9"/>
      <c r="AE451" s="9"/>
      <c r="AF451" s="9"/>
      <c r="AG451" s="9"/>
      <c r="AH451" s="9"/>
      <c r="AI451" s="9"/>
      <c r="AJ451" s="9"/>
      <c r="AK451" s="9"/>
      <c r="AL451" s="9"/>
      <c r="AM451" s="9"/>
      <c r="AN451" s="9"/>
      <c r="AO451" s="9"/>
      <c r="AP451" s="9"/>
      <c r="AQ451" s="9"/>
      <c r="AR451" s="9"/>
      <c r="AS451" s="9"/>
      <c r="AT451" s="9"/>
      <c r="AU451" s="9"/>
      <c r="AV451" s="9"/>
      <c r="AW451" s="9"/>
      <c r="AX451" s="9"/>
    </row>
    <row r="452" spans="1:50" ht="15.75" customHeight="1" x14ac:dyDescent="0.2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212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  <c r="AA452" s="212"/>
      <c r="AB452" s="9"/>
      <c r="AC452" s="9"/>
      <c r="AD452" s="9"/>
      <c r="AE452" s="9"/>
      <c r="AF452" s="9"/>
      <c r="AG452" s="9"/>
      <c r="AH452" s="9"/>
      <c r="AI452" s="9"/>
      <c r="AJ452" s="9"/>
      <c r="AK452" s="9"/>
      <c r="AL452" s="9"/>
      <c r="AM452" s="9"/>
      <c r="AN452" s="9"/>
      <c r="AO452" s="9"/>
      <c r="AP452" s="9"/>
      <c r="AQ452" s="9"/>
      <c r="AR452" s="9"/>
      <c r="AS452" s="9"/>
      <c r="AT452" s="9"/>
      <c r="AU452" s="9"/>
      <c r="AV452" s="9"/>
      <c r="AW452" s="9"/>
      <c r="AX452" s="9"/>
    </row>
    <row r="453" spans="1:50" ht="15.75" customHeight="1" x14ac:dyDescent="0.2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212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  <c r="AA453" s="212"/>
      <c r="AB453" s="9"/>
      <c r="AC453" s="9"/>
      <c r="AD453" s="9"/>
      <c r="AE453" s="9"/>
      <c r="AF453" s="9"/>
      <c r="AG453" s="9"/>
      <c r="AH453" s="9"/>
      <c r="AI453" s="9"/>
      <c r="AJ453" s="9"/>
      <c r="AK453" s="9"/>
      <c r="AL453" s="9"/>
      <c r="AM453" s="9"/>
      <c r="AN453" s="9"/>
      <c r="AO453" s="9"/>
      <c r="AP453" s="9"/>
      <c r="AQ453" s="9"/>
      <c r="AR453" s="9"/>
      <c r="AS453" s="9"/>
      <c r="AT453" s="9"/>
      <c r="AU453" s="9"/>
      <c r="AV453" s="9"/>
      <c r="AW453" s="9"/>
      <c r="AX453" s="9"/>
    </row>
    <row r="454" spans="1:50" ht="15.75" customHeight="1" x14ac:dyDescent="0.2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212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  <c r="AA454" s="212"/>
      <c r="AB454" s="9"/>
      <c r="AC454" s="9"/>
      <c r="AD454" s="9"/>
      <c r="AE454" s="9"/>
      <c r="AF454" s="9"/>
      <c r="AG454" s="9"/>
      <c r="AH454" s="9"/>
      <c r="AI454" s="9"/>
      <c r="AJ454" s="9"/>
      <c r="AK454" s="9"/>
      <c r="AL454" s="9"/>
      <c r="AM454" s="9"/>
      <c r="AN454" s="9"/>
      <c r="AO454" s="9"/>
      <c r="AP454" s="9"/>
      <c r="AQ454" s="9"/>
      <c r="AR454" s="9"/>
      <c r="AS454" s="9"/>
      <c r="AT454" s="9"/>
      <c r="AU454" s="9"/>
      <c r="AV454" s="9"/>
      <c r="AW454" s="9"/>
      <c r="AX454" s="9"/>
    </row>
    <row r="455" spans="1:50" ht="15.75" customHeight="1" x14ac:dyDescent="0.2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212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  <c r="AA455" s="212"/>
      <c r="AB455" s="9"/>
      <c r="AC455" s="9"/>
      <c r="AD455" s="9"/>
      <c r="AE455" s="9"/>
      <c r="AF455" s="9"/>
      <c r="AG455" s="9"/>
      <c r="AH455" s="9"/>
      <c r="AI455" s="9"/>
      <c r="AJ455" s="9"/>
      <c r="AK455" s="9"/>
      <c r="AL455" s="9"/>
      <c r="AM455" s="9"/>
      <c r="AN455" s="9"/>
      <c r="AO455" s="9"/>
      <c r="AP455" s="9"/>
      <c r="AQ455" s="9"/>
      <c r="AR455" s="9"/>
      <c r="AS455" s="9"/>
      <c r="AT455" s="9"/>
      <c r="AU455" s="9"/>
      <c r="AV455" s="9"/>
      <c r="AW455" s="9"/>
      <c r="AX455" s="9"/>
    </row>
    <row r="456" spans="1:50" ht="15.75" customHeight="1" x14ac:dyDescent="0.2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212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  <c r="AA456" s="212"/>
      <c r="AB456" s="9"/>
      <c r="AC456" s="9"/>
      <c r="AD456" s="9"/>
      <c r="AE456" s="9"/>
      <c r="AF456" s="9"/>
      <c r="AG456" s="9"/>
      <c r="AH456" s="9"/>
      <c r="AI456" s="9"/>
      <c r="AJ456" s="9"/>
      <c r="AK456" s="9"/>
      <c r="AL456" s="9"/>
      <c r="AM456" s="9"/>
      <c r="AN456" s="9"/>
      <c r="AO456" s="9"/>
      <c r="AP456" s="9"/>
      <c r="AQ456" s="9"/>
      <c r="AR456" s="9"/>
      <c r="AS456" s="9"/>
      <c r="AT456" s="9"/>
      <c r="AU456" s="9"/>
      <c r="AV456" s="9"/>
      <c r="AW456" s="9"/>
      <c r="AX456" s="9"/>
    </row>
    <row r="457" spans="1:50" ht="15.75" customHeight="1" x14ac:dyDescent="0.2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212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  <c r="AA457" s="212"/>
      <c r="AB457" s="9"/>
      <c r="AC457" s="9"/>
      <c r="AD457" s="9"/>
      <c r="AE457" s="9"/>
      <c r="AF457" s="9"/>
      <c r="AG457" s="9"/>
      <c r="AH457" s="9"/>
      <c r="AI457" s="9"/>
      <c r="AJ457" s="9"/>
      <c r="AK457" s="9"/>
      <c r="AL457" s="9"/>
      <c r="AM457" s="9"/>
      <c r="AN457" s="9"/>
      <c r="AO457" s="9"/>
      <c r="AP457" s="9"/>
      <c r="AQ457" s="9"/>
      <c r="AR457" s="9"/>
      <c r="AS457" s="9"/>
      <c r="AT457" s="9"/>
      <c r="AU457" s="9"/>
      <c r="AV457" s="9"/>
      <c r="AW457" s="9"/>
      <c r="AX457" s="9"/>
    </row>
    <row r="458" spans="1:50" ht="15.75" customHeight="1" x14ac:dyDescent="0.2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212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  <c r="AA458" s="212"/>
      <c r="AB458" s="9"/>
      <c r="AC458" s="9"/>
      <c r="AD458" s="9"/>
      <c r="AE458" s="9"/>
      <c r="AF458" s="9"/>
      <c r="AG458" s="9"/>
      <c r="AH458" s="9"/>
      <c r="AI458" s="9"/>
      <c r="AJ458" s="9"/>
      <c r="AK458" s="9"/>
      <c r="AL458" s="9"/>
      <c r="AM458" s="9"/>
      <c r="AN458" s="9"/>
      <c r="AO458" s="9"/>
      <c r="AP458" s="9"/>
      <c r="AQ458" s="9"/>
      <c r="AR458" s="9"/>
      <c r="AS458" s="9"/>
      <c r="AT458" s="9"/>
      <c r="AU458" s="9"/>
      <c r="AV458" s="9"/>
      <c r="AW458" s="9"/>
      <c r="AX458" s="9"/>
    </row>
    <row r="459" spans="1:50" ht="15.75" customHeight="1" x14ac:dyDescent="0.2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212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  <c r="AA459" s="212"/>
      <c r="AB459" s="9"/>
      <c r="AC459" s="9"/>
      <c r="AD459" s="9"/>
      <c r="AE459" s="9"/>
      <c r="AF459" s="9"/>
      <c r="AG459" s="9"/>
      <c r="AH459" s="9"/>
      <c r="AI459" s="9"/>
      <c r="AJ459" s="9"/>
      <c r="AK459" s="9"/>
      <c r="AL459" s="9"/>
      <c r="AM459" s="9"/>
      <c r="AN459" s="9"/>
      <c r="AO459" s="9"/>
      <c r="AP459" s="9"/>
      <c r="AQ459" s="9"/>
      <c r="AR459" s="9"/>
      <c r="AS459" s="9"/>
      <c r="AT459" s="9"/>
      <c r="AU459" s="9"/>
      <c r="AV459" s="9"/>
      <c r="AW459" s="9"/>
      <c r="AX459" s="9"/>
    </row>
    <row r="460" spans="1:50" ht="15.75" customHeight="1" x14ac:dyDescent="0.2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212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  <c r="AA460" s="212"/>
      <c r="AB460" s="9"/>
      <c r="AC460" s="9"/>
      <c r="AD460" s="9"/>
      <c r="AE460" s="9"/>
      <c r="AF460" s="9"/>
      <c r="AG460" s="9"/>
      <c r="AH460" s="9"/>
      <c r="AI460" s="9"/>
      <c r="AJ460" s="9"/>
      <c r="AK460" s="9"/>
      <c r="AL460" s="9"/>
      <c r="AM460" s="9"/>
      <c r="AN460" s="9"/>
      <c r="AO460" s="9"/>
      <c r="AP460" s="9"/>
      <c r="AQ460" s="9"/>
      <c r="AR460" s="9"/>
      <c r="AS460" s="9"/>
      <c r="AT460" s="9"/>
      <c r="AU460" s="9"/>
      <c r="AV460" s="9"/>
      <c r="AW460" s="9"/>
      <c r="AX460" s="9"/>
    </row>
    <row r="461" spans="1:50" ht="15.75" customHeight="1" x14ac:dyDescent="0.2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212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  <c r="AA461" s="212"/>
      <c r="AB461" s="9"/>
      <c r="AC461" s="9"/>
      <c r="AD461" s="9"/>
      <c r="AE461" s="9"/>
      <c r="AF461" s="9"/>
      <c r="AG461" s="9"/>
      <c r="AH461" s="9"/>
      <c r="AI461" s="9"/>
      <c r="AJ461" s="9"/>
      <c r="AK461" s="9"/>
      <c r="AL461" s="9"/>
      <c r="AM461" s="9"/>
      <c r="AN461" s="9"/>
      <c r="AO461" s="9"/>
      <c r="AP461" s="9"/>
      <c r="AQ461" s="9"/>
      <c r="AR461" s="9"/>
      <c r="AS461" s="9"/>
      <c r="AT461" s="9"/>
      <c r="AU461" s="9"/>
      <c r="AV461" s="9"/>
      <c r="AW461" s="9"/>
      <c r="AX461" s="9"/>
    </row>
    <row r="462" spans="1:50" ht="15.75" customHeight="1" x14ac:dyDescent="0.2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212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  <c r="AA462" s="212"/>
      <c r="AB462" s="9"/>
      <c r="AC462" s="9"/>
      <c r="AD462" s="9"/>
      <c r="AE462" s="9"/>
      <c r="AF462" s="9"/>
      <c r="AG462" s="9"/>
      <c r="AH462" s="9"/>
      <c r="AI462" s="9"/>
      <c r="AJ462" s="9"/>
      <c r="AK462" s="9"/>
      <c r="AL462" s="9"/>
      <c r="AM462" s="9"/>
      <c r="AN462" s="9"/>
      <c r="AO462" s="9"/>
      <c r="AP462" s="9"/>
      <c r="AQ462" s="9"/>
      <c r="AR462" s="9"/>
      <c r="AS462" s="9"/>
      <c r="AT462" s="9"/>
      <c r="AU462" s="9"/>
      <c r="AV462" s="9"/>
      <c r="AW462" s="9"/>
      <c r="AX462" s="9"/>
    </row>
    <row r="463" spans="1:50" ht="15.75" customHeight="1" x14ac:dyDescent="0.2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212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  <c r="AA463" s="212"/>
      <c r="AB463" s="9"/>
      <c r="AC463" s="9"/>
      <c r="AD463" s="9"/>
      <c r="AE463" s="9"/>
      <c r="AF463" s="9"/>
      <c r="AG463" s="9"/>
      <c r="AH463" s="9"/>
      <c r="AI463" s="9"/>
      <c r="AJ463" s="9"/>
      <c r="AK463" s="9"/>
      <c r="AL463" s="9"/>
      <c r="AM463" s="9"/>
      <c r="AN463" s="9"/>
      <c r="AO463" s="9"/>
      <c r="AP463" s="9"/>
      <c r="AQ463" s="9"/>
      <c r="AR463" s="9"/>
      <c r="AS463" s="9"/>
      <c r="AT463" s="9"/>
      <c r="AU463" s="9"/>
      <c r="AV463" s="9"/>
      <c r="AW463" s="9"/>
      <c r="AX463" s="9"/>
    </row>
    <row r="464" spans="1:50" ht="15.75" customHeight="1" x14ac:dyDescent="0.2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212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  <c r="AA464" s="212"/>
      <c r="AB464" s="9"/>
      <c r="AC464" s="9"/>
      <c r="AD464" s="9"/>
      <c r="AE464" s="9"/>
      <c r="AF464" s="9"/>
      <c r="AG464" s="9"/>
      <c r="AH464" s="9"/>
      <c r="AI464" s="9"/>
      <c r="AJ464" s="9"/>
      <c r="AK464" s="9"/>
      <c r="AL464" s="9"/>
      <c r="AM464" s="9"/>
      <c r="AN464" s="9"/>
      <c r="AO464" s="9"/>
      <c r="AP464" s="9"/>
      <c r="AQ464" s="9"/>
      <c r="AR464" s="9"/>
      <c r="AS464" s="9"/>
      <c r="AT464" s="9"/>
      <c r="AU464" s="9"/>
      <c r="AV464" s="9"/>
      <c r="AW464" s="9"/>
      <c r="AX464" s="9"/>
    </row>
    <row r="465" spans="1:50" ht="15.75" customHeight="1" x14ac:dyDescent="0.2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212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  <c r="AA465" s="212"/>
      <c r="AB465" s="9"/>
      <c r="AC465" s="9"/>
      <c r="AD465" s="9"/>
      <c r="AE465" s="9"/>
      <c r="AF465" s="9"/>
      <c r="AG465" s="9"/>
      <c r="AH465" s="9"/>
      <c r="AI465" s="9"/>
      <c r="AJ465" s="9"/>
      <c r="AK465" s="9"/>
      <c r="AL465" s="9"/>
      <c r="AM465" s="9"/>
      <c r="AN465" s="9"/>
      <c r="AO465" s="9"/>
      <c r="AP465" s="9"/>
      <c r="AQ465" s="9"/>
      <c r="AR465" s="9"/>
      <c r="AS465" s="9"/>
      <c r="AT465" s="9"/>
      <c r="AU465" s="9"/>
      <c r="AV465" s="9"/>
      <c r="AW465" s="9"/>
      <c r="AX465" s="9"/>
    </row>
    <row r="466" spans="1:50" ht="15.75" customHeight="1" x14ac:dyDescent="0.2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212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  <c r="AA466" s="212"/>
      <c r="AB466" s="9"/>
      <c r="AC466" s="9"/>
      <c r="AD466" s="9"/>
      <c r="AE466" s="9"/>
      <c r="AF466" s="9"/>
      <c r="AG466" s="9"/>
      <c r="AH466" s="9"/>
      <c r="AI466" s="9"/>
      <c r="AJ466" s="9"/>
      <c r="AK466" s="9"/>
      <c r="AL466" s="9"/>
      <c r="AM466" s="9"/>
      <c r="AN466" s="9"/>
      <c r="AO466" s="9"/>
      <c r="AP466" s="9"/>
      <c r="AQ466" s="9"/>
      <c r="AR466" s="9"/>
      <c r="AS466" s="9"/>
      <c r="AT466" s="9"/>
      <c r="AU466" s="9"/>
      <c r="AV466" s="9"/>
      <c r="AW466" s="9"/>
      <c r="AX466" s="9"/>
    </row>
    <row r="467" spans="1:50" ht="15.75" customHeight="1" x14ac:dyDescent="0.2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212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  <c r="AA467" s="212"/>
      <c r="AB467" s="9"/>
      <c r="AC467" s="9"/>
      <c r="AD467" s="9"/>
      <c r="AE467" s="9"/>
      <c r="AF467" s="9"/>
      <c r="AG467" s="9"/>
      <c r="AH467" s="9"/>
      <c r="AI467" s="9"/>
      <c r="AJ467" s="9"/>
      <c r="AK467" s="9"/>
      <c r="AL467" s="9"/>
      <c r="AM467" s="9"/>
      <c r="AN467" s="9"/>
      <c r="AO467" s="9"/>
      <c r="AP467" s="9"/>
      <c r="AQ467" s="9"/>
      <c r="AR467" s="9"/>
      <c r="AS467" s="9"/>
      <c r="AT467" s="9"/>
      <c r="AU467" s="9"/>
      <c r="AV467" s="9"/>
      <c r="AW467" s="9"/>
      <c r="AX467" s="9"/>
    </row>
    <row r="468" spans="1:50" ht="15.75" customHeight="1" x14ac:dyDescent="0.2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212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  <c r="AA468" s="212"/>
      <c r="AB468" s="9"/>
      <c r="AC468" s="9"/>
      <c r="AD468" s="9"/>
      <c r="AE468" s="9"/>
      <c r="AF468" s="9"/>
      <c r="AG468" s="9"/>
      <c r="AH468" s="9"/>
      <c r="AI468" s="9"/>
      <c r="AJ468" s="9"/>
      <c r="AK468" s="9"/>
      <c r="AL468" s="9"/>
      <c r="AM468" s="9"/>
      <c r="AN468" s="9"/>
      <c r="AO468" s="9"/>
      <c r="AP468" s="9"/>
      <c r="AQ468" s="9"/>
      <c r="AR468" s="9"/>
      <c r="AS468" s="9"/>
      <c r="AT468" s="9"/>
      <c r="AU468" s="9"/>
      <c r="AV468" s="9"/>
      <c r="AW468" s="9"/>
      <c r="AX468" s="9"/>
    </row>
    <row r="469" spans="1:50" ht="15.75" customHeight="1" x14ac:dyDescent="0.2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212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  <c r="AA469" s="212"/>
      <c r="AB469" s="9"/>
      <c r="AC469" s="9"/>
      <c r="AD469" s="9"/>
      <c r="AE469" s="9"/>
      <c r="AF469" s="9"/>
      <c r="AG469" s="9"/>
      <c r="AH469" s="9"/>
      <c r="AI469" s="9"/>
      <c r="AJ469" s="9"/>
      <c r="AK469" s="9"/>
      <c r="AL469" s="9"/>
      <c r="AM469" s="9"/>
      <c r="AN469" s="9"/>
      <c r="AO469" s="9"/>
      <c r="AP469" s="9"/>
      <c r="AQ469" s="9"/>
      <c r="AR469" s="9"/>
      <c r="AS469" s="9"/>
      <c r="AT469" s="9"/>
      <c r="AU469" s="9"/>
      <c r="AV469" s="9"/>
      <c r="AW469" s="9"/>
      <c r="AX469" s="9"/>
    </row>
    <row r="470" spans="1:50" ht="15.75" customHeight="1" x14ac:dyDescent="0.2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212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  <c r="AA470" s="212"/>
      <c r="AB470" s="9"/>
      <c r="AC470" s="9"/>
      <c r="AD470" s="9"/>
      <c r="AE470" s="9"/>
      <c r="AF470" s="9"/>
      <c r="AG470" s="9"/>
      <c r="AH470" s="9"/>
      <c r="AI470" s="9"/>
      <c r="AJ470" s="9"/>
      <c r="AK470" s="9"/>
      <c r="AL470" s="9"/>
      <c r="AM470" s="9"/>
      <c r="AN470" s="9"/>
      <c r="AO470" s="9"/>
      <c r="AP470" s="9"/>
      <c r="AQ470" s="9"/>
      <c r="AR470" s="9"/>
      <c r="AS470" s="9"/>
      <c r="AT470" s="9"/>
      <c r="AU470" s="9"/>
      <c r="AV470" s="9"/>
      <c r="AW470" s="9"/>
      <c r="AX470" s="9"/>
    </row>
    <row r="471" spans="1:50" ht="15.75" customHeight="1" x14ac:dyDescent="0.2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212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  <c r="AA471" s="212"/>
      <c r="AB471" s="9"/>
      <c r="AC471" s="9"/>
      <c r="AD471" s="9"/>
      <c r="AE471" s="9"/>
      <c r="AF471" s="9"/>
      <c r="AG471" s="9"/>
      <c r="AH471" s="9"/>
      <c r="AI471" s="9"/>
      <c r="AJ471" s="9"/>
      <c r="AK471" s="9"/>
      <c r="AL471" s="9"/>
      <c r="AM471" s="9"/>
      <c r="AN471" s="9"/>
      <c r="AO471" s="9"/>
      <c r="AP471" s="9"/>
      <c r="AQ471" s="9"/>
      <c r="AR471" s="9"/>
      <c r="AS471" s="9"/>
      <c r="AT471" s="9"/>
      <c r="AU471" s="9"/>
      <c r="AV471" s="9"/>
      <c r="AW471" s="9"/>
      <c r="AX471" s="9"/>
    </row>
    <row r="472" spans="1:50" ht="15.75" customHeight="1" x14ac:dyDescent="0.2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212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  <c r="AA472" s="212"/>
      <c r="AB472" s="9"/>
      <c r="AC472" s="9"/>
      <c r="AD472" s="9"/>
      <c r="AE472" s="9"/>
      <c r="AF472" s="9"/>
      <c r="AG472" s="9"/>
      <c r="AH472" s="9"/>
      <c r="AI472" s="9"/>
      <c r="AJ472" s="9"/>
      <c r="AK472" s="9"/>
      <c r="AL472" s="9"/>
      <c r="AM472" s="9"/>
      <c r="AN472" s="9"/>
      <c r="AO472" s="9"/>
      <c r="AP472" s="9"/>
      <c r="AQ472" s="9"/>
      <c r="AR472" s="9"/>
      <c r="AS472" s="9"/>
      <c r="AT472" s="9"/>
      <c r="AU472" s="9"/>
      <c r="AV472" s="9"/>
      <c r="AW472" s="9"/>
      <c r="AX472" s="9"/>
    </row>
    <row r="473" spans="1:50" ht="15.75" customHeight="1" x14ac:dyDescent="0.2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212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  <c r="AA473" s="212"/>
      <c r="AB473" s="9"/>
      <c r="AC473" s="9"/>
      <c r="AD473" s="9"/>
      <c r="AE473" s="9"/>
      <c r="AF473" s="9"/>
      <c r="AG473" s="9"/>
      <c r="AH473" s="9"/>
      <c r="AI473" s="9"/>
      <c r="AJ473" s="9"/>
      <c r="AK473" s="9"/>
      <c r="AL473" s="9"/>
      <c r="AM473" s="9"/>
      <c r="AN473" s="9"/>
      <c r="AO473" s="9"/>
      <c r="AP473" s="9"/>
      <c r="AQ473" s="9"/>
      <c r="AR473" s="9"/>
      <c r="AS473" s="9"/>
      <c r="AT473" s="9"/>
      <c r="AU473" s="9"/>
      <c r="AV473" s="9"/>
      <c r="AW473" s="9"/>
      <c r="AX473" s="9"/>
    </row>
    <row r="474" spans="1:50" ht="15.75" customHeight="1" x14ac:dyDescent="0.2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212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  <c r="AA474" s="212"/>
      <c r="AB474" s="9"/>
      <c r="AC474" s="9"/>
      <c r="AD474" s="9"/>
      <c r="AE474" s="9"/>
      <c r="AF474" s="9"/>
      <c r="AG474" s="9"/>
      <c r="AH474" s="9"/>
      <c r="AI474" s="9"/>
      <c r="AJ474" s="9"/>
      <c r="AK474" s="9"/>
      <c r="AL474" s="9"/>
      <c r="AM474" s="9"/>
      <c r="AN474" s="9"/>
      <c r="AO474" s="9"/>
      <c r="AP474" s="9"/>
      <c r="AQ474" s="9"/>
      <c r="AR474" s="9"/>
      <c r="AS474" s="9"/>
      <c r="AT474" s="9"/>
      <c r="AU474" s="9"/>
      <c r="AV474" s="9"/>
      <c r="AW474" s="9"/>
      <c r="AX474" s="9"/>
    </row>
    <row r="475" spans="1:50" ht="15.75" customHeight="1" x14ac:dyDescent="0.2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212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  <c r="AA475" s="212"/>
      <c r="AB475" s="9"/>
      <c r="AC475" s="9"/>
      <c r="AD475" s="9"/>
      <c r="AE475" s="9"/>
      <c r="AF475" s="9"/>
      <c r="AG475" s="9"/>
      <c r="AH475" s="9"/>
      <c r="AI475" s="9"/>
      <c r="AJ475" s="9"/>
      <c r="AK475" s="9"/>
      <c r="AL475" s="9"/>
      <c r="AM475" s="9"/>
      <c r="AN475" s="9"/>
      <c r="AO475" s="9"/>
      <c r="AP475" s="9"/>
      <c r="AQ475" s="9"/>
      <c r="AR475" s="9"/>
      <c r="AS475" s="9"/>
      <c r="AT475" s="9"/>
      <c r="AU475" s="9"/>
      <c r="AV475" s="9"/>
      <c r="AW475" s="9"/>
      <c r="AX475" s="9"/>
    </row>
    <row r="476" spans="1:50" ht="15.75" customHeight="1" x14ac:dyDescent="0.2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212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  <c r="AA476" s="212"/>
      <c r="AB476" s="9"/>
      <c r="AC476" s="9"/>
      <c r="AD476" s="9"/>
      <c r="AE476" s="9"/>
      <c r="AF476" s="9"/>
      <c r="AG476" s="9"/>
      <c r="AH476" s="9"/>
      <c r="AI476" s="9"/>
      <c r="AJ476" s="9"/>
      <c r="AK476" s="9"/>
      <c r="AL476" s="9"/>
      <c r="AM476" s="9"/>
      <c r="AN476" s="9"/>
      <c r="AO476" s="9"/>
      <c r="AP476" s="9"/>
      <c r="AQ476" s="9"/>
      <c r="AR476" s="9"/>
      <c r="AS476" s="9"/>
      <c r="AT476" s="9"/>
      <c r="AU476" s="9"/>
      <c r="AV476" s="9"/>
      <c r="AW476" s="9"/>
      <c r="AX476" s="9"/>
    </row>
    <row r="477" spans="1:50" ht="15.75" customHeight="1" x14ac:dyDescent="0.2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212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  <c r="AA477" s="212"/>
      <c r="AB477" s="9"/>
      <c r="AC477" s="9"/>
      <c r="AD477" s="9"/>
      <c r="AE477" s="9"/>
      <c r="AF477" s="9"/>
      <c r="AG477" s="9"/>
      <c r="AH477" s="9"/>
      <c r="AI477" s="9"/>
      <c r="AJ477" s="9"/>
      <c r="AK477" s="9"/>
      <c r="AL477" s="9"/>
      <c r="AM477" s="9"/>
      <c r="AN477" s="9"/>
      <c r="AO477" s="9"/>
      <c r="AP477" s="9"/>
      <c r="AQ477" s="9"/>
      <c r="AR477" s="9"/>
      <c r="AS477" s="9"/>
      <c r="AT477" s="9"/>
      <c r="AU477" s="9"/>
      <c r="AV477" s="9"/>
      <c r="AW477" s="9"/>
      <c r="AX477" s="9"/>
    </row>
    <row r="478" spans="1:50" ht="15.75" customHeight="1" x14ac:dyDescent="0.2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212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  <c r="AA478" s="212"/>
      <c r="AB478" s="9"/>
      <c r="AC478" s="9"/>
      <c r="AD478" s="9"/>
      <c r="AE478" s="9"/>
      <c r="AF478" s="9"/>
      <c r="AG478" s="9"/>
      <c r="AH478" s="9"/>
      <c r="AI478" s="9"/>
      <c r="AJ478" s="9"/>
      <c r="AK478" s="9"/>
      <c r="AL478" s="9"/>
      <c r="AM478" s="9"/>
      <c r="AN478" s="9"/>
      <c r="AO478" s="9"/>
      <c r="AP478" s="9"/>
      <c r="AQ478" s="9"/>
      <c r="AR478" s="9"/>
      <c r="AS478" s="9"/>
      <c r="AT478" s="9"/>
      <c r="AU478" s="9"/>
      <c r="AV478" s="9"/>
      <c r="AW478" s="9"/>
      <c r="AX478" s="9"/>
    </row>
    <row r="479" spans="1:50" ht="15.75" customHeight="1" x14ac:dyDescent="0.2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212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  <c r="AA479" s="212"/>
      <c r="AB479" s="9"/>
      <c r="AC479" s="9"/>
      <c r="AD479" s="9"/>
      <c r="AE479" s="9"/>
      <c r="AF479" s="9"/>
      <c r="AG479" s="9"/>
      <c r="AH479" s="9"/>
      <c r="AI479" s="9"/>
      <c r="AJ479" s="9"/>
      <c r="AK479" s="9"/>
      <c r="AL479" s="9"/>
      <c r="AM479" s="9"/>
      <c r="AN479" s="9"/>
      <c r="AO479" s="9"/>
      <c r="AP479" s="9"/>
      <c r="AQ479" s="9"/>
      <c r="AR479" s="9"/>
      <c r="AS479" s="9"/>
      <c r="AT479" s="9"/>
      <c r="AU479" s="9"/>
      <c r="AV479" s="9"/>
      <c r="AW479" s="9"/>
      <c r="AX479" s="9"/>
    </row>
    <row r="480" spans="1:50" ht="15.75" customHeight="1" x14ac:dyDescent="0.2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212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  <c r="AA480" s="212"/>
      <c r="AB480" s="9"/>
      <c r="AC480" s="9"/>
      <c r="AD480" s="9"/>
      <c r="AE480" s="9"/>
      <c r="AF480" s="9"/>
      <c r="AG480" s="9"/>
      <c r="AH480" s="9"/>
      <c r="AI480" s="9"/>
      <c r="AJ480" s="9"/>
      <c r="AK480" s="9"/>
      <c r="AL480" s="9"/>
      <c r="AM480" s="9"/>
      <c r="AN480" s="9"/>
      <c r="AO480" s="9"/>
      <c r="AP480" s="9"/>
      <c r="AQ480" s="9"/>
      <c r="AR480" s="9"/>
      <c r="AS480" s="9"/>
      <c r="AT480" s="9"/>
      <c r="AU480" s="9"/>
      <c r="AV480" s="9"/>
      <c r="AW480" s="9"/>
      <c r="AX480" s="9"/>
    </row>
    <row r="481" spans="1:50" ht="15.75" customHeight="1" x14ac:dyDescent="0.2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212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  <c r="AA481" s="212"/>
      <c r="AB481" s="9"/>
      <c r="AC481" s="9"/>
      <c r="AD481" s="9"/>
      <c r="AE481" s="9"/>
      <c r="AF481" s="9"/>
      <c r="AG481" s="9"/>
      <c r="AH481" s="9"/>
      <c r="AI481" s="9"/>
      <c r="AJ481" s="9"/>
      <c r="AK481" s="9"/>
      <c r="AL481" s="9"/>
      <c r="AM481" s="9"/>
      <c r="AN481" s="9"/>
      <c r="AO481" s="9"/>
      <c r="AP481" s="9"/>
      <c r="AQ481" s="9"/>
      <c r="AR481" s="9"/>
      <c r="AS481" s="9"/>
      <c r="AT481" s="9"/>
      <c r="AU481" s="9"/>
      <c r="AV481" s="9"/>
      <c r="AW481" s="9"/>
      <c r="AX481" s="9"/>
    </row>
    <row r="482" spans="1:50" ht="15.75" customHeight="1" x14ac:dyDescent="0.2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212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  <c r="AA482" s="212"/>
      <c r="AB482" s="9"/>
      <c r="AC482" s="9"/>
      <c r="AD482" s="9"/>
      <c r="AE482" s="9"/>
      <c r="AF482" s="9"/>
      <c r="AG482" s="9"/>
      <c r="AH482" s="9"/>
      <c r="AI482" s="9"/>
      <c r="AJ482" s="9"/>
      <c r="AK482" s="9"/>
      <c r="AL482" s="9"/>
      <c r="AM482" s="9"/>
      <c r="AN482" s="9"/>
      <c r="AO482" s="9"/>
      <c r="AP482" s="9"/>
      <c r="AQ482" s="9"/>
      <c r="AR482" s="9"/>
      <c r="AS482" s="9"/>
      <c r="AT482" s="9"/>
      <c r="AU482" s="9"/>
      <c r="AV482" s="9"/>
      <c r="AW482" s="9"/>
      <c r="AX482" s="9"/>
    </row>
    <row r="483" spans="1:50" ht="15.75" customHeight="1" x14ac:dyDescent="0.2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212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  <c r="AA483" s="212"/>
      <c r="AB483" s="9"/>
      <c r="AC483" s="9"/>
      <c r="AD483" s="9"/>
      <c r="AE483" s="9"/>
      <c r="AF483" s="9"/>
      <c r="AG483" s="9"/>
      <c r="AH483" s="9"/>
      <c r="AI483" s="9"/>
      <c r="AJ483" s="9"/>
      <c r="AK483" s="9"/>
      <c r="AL483" s="9"/>
      <c r="AM483" s="9"/>
      <c r="AN483" s="9"/>
      <c r="AO483" s="9"/>
      <c r="AP483" s="9"/>
      <c r="AQ483" s="9"/>
      <c r="AR483" s="9"/>
      <c r="AS483" s="9"/>
      <c r="AT483" s="9"/>
      <c r="AU483" s="9"/>
      <c r="AV483" s="9"/>
      <c r="AW483" s="9"/>
      <c r="AX483" s="9"/>
    </row>
    <row r="484" spans="1:50" ht="15.75" customHeight="1" x14ac:dyDescent="0.2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212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  <c r="AA484" s="212"/>
      <c r="AB484" s="9"/>
      <c r="AC484" s="9"/>
      <c r="AD484" s="9"/>
      <c r="AE484" s="9"/>
      <c r="AF484" s="9"/>
      <c r="AG484" s="9"/>
      <c r="AH484" s="9"/>
      <c r="AI484" s="9"/>
      <c r="AJ484" s="9"/>
      <c r="AK484" s="9"/>
      <c r="AL484" s="9"/>
      <c r="AM484" s="9"/>
      <c r="AN484" s="9"/>
      <c r="AO484" s="9"/>
      <c r="AP484" s="9"/>
      <c r="AQ484" s="9"/>
      <c r="AR484" s="9"/>
      <c r="AS484" s="9"/>
      <c r="AT484" s="9"/>
      <c r="AU484" s="9"/>
      <c r="AV484" s="9"/>
      <c r="AW484" s="9"/>
      <c r="AX484" s="9"/>
    </row>
    <row r="485" spans="1:50" ht="15.75" customHeight="1" x14ac:dyDescent="0.2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212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  <c r="AA485" s="212"/>
      <c r="AB485" s="9"/>
      <c r="AC485" s="9"/>
      <c r="AD485" s="9"/>
      <c r="AE485" s="9"/>
      <c r="AF485" s="9"/>
      <c r="AG485" s="9"/>
      <c r="AH485" s="9"/>
      <c r="AI485" s="9"/>
      <c r="AJ485" s="9"/>
      <c r="AK485" s="9"/>
      <c r="AL485" s="9"/>
      <c r="AM485" s="9"/>
      <c r="AN485" s="9"/>
      <c r="AO485" s="9"/>
      <c r="AP485" s="9"/>
      <c r="AQ485" s="9"/>
      <c r="AR485" s="9"/>
      <c r="AS485" s="9"/>
      <c r="AT485" s="9"/>
      <c r="AU485" s="9"/>
      <c r="AV485" s="9"/>
      <c r="AW485" s="9"/>
      <c r="AX485" s="9"/>
    </row>
    <row r="486" spans="1:50" ht="15.75" customHeight="1" x14ac:dyDescent="0.2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212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  <c r="AA486" s="212"/>
      <c r="AB486" s="9"/>
      <c r="AC486" s="9"/>
      <c r="AD486" s="9"/>
      <c r="AE486" s="9"/>
      <c r="AF486" s="9"/>
      <c r="AG486" s="9"/>
      <c r="AH486" s="9"/>
      <c r="AI486" s="9"/>
      <c r="AJ486" s="9"/>
      <c r="AK486" s="9"/>
      <c r="AL486" s="9"/>
      <c r="AM486" s="9"/>
      <c r="AN486" s="9"/>
      <c r="AO486" s="9"/>
      <c r="AP486" s="9"/>
      <c r="AQ486" s="9"/>
      <c r="AR486" s="9"/>
      <c r="AS486" s="9"/>
      <c r="AT486" s="9"/>
      <c r="AU486" s="9"/>
      <c r="AV486" s="9"/>
      <c r="AW486" s="9"/>
      <c r="AX486" s="9"/>
    </row>
    <row r="487" spans="1:50" ht="15.75" customHeight="1" x14ac:dyDescent="0.2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212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  <c r="AA487" s="212"/>
      <c r="AB487" s="9"/>
      <c r="AC487" s="9"/>
      <c r="AD487" s="9"/>
      <c r="AE487" s="9"/>
      <c r="AF487" s="9"/>
      <c r="AG487" s="9"/>
      <c r="AH487" s="9"/>
      <c r="AI487" s="9"/>
      <c r="AJ487" s="9"/>
      <c r="AK487" s="9"/>
      <c r="AL487" s="9"/>
      <c r="AM487" s="9"/>
      <c r="AN487" s="9"/>
      <c r="AO487" s="9"/>
      <c r="AP487" s="9"/>
      <c r="AQ487" s="9"/>
      <c r="AR487" s="9"/>
      <c r="AS487" s="9"/>
      <c r="AT487" s="9"/>
      <c r="AU487" s="9"/>
      <c r="AV487" s="9"/>
      <c r="AW487" s="9"/>
      <c r="AX487" s="9"/>
    </row>
    <row r="488" spans="1:50" ht="15.75" customHeight="1" x14ac:dyDescent="0.2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212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  <c r="AA488" s="212"/>
      <c r="AB488" s="9"/>
      <c r="AC488" s="9"/>
      <c r="AD488" s="9"/>
      <c r="AE488" s="9"/>
      <c r="AF488" s="9"/>
      <c r="AG488" s="9"/>
      <c r="AH488" s="9"/>
      <c r="AI488" s="9"/>
      <c r="AJ488" s="9"/>
      <c r="AK488" s="9"/>
      <c r="AL488" s="9"/>
      <c r="AM488" s="9"/>
      <c r="AN488" s="9"/>
      <c r="AO488" s="9"/>
      <c r="AP488" s="9"/>
      <c r="AQ488" s="9"/>
      <c r="AR488" s="9"/>
      <c r="AS488" s="9"/>
      <c r="AT488" s="9"/>
      <c r="AU488" s="9"/>
      <c r="AV488" s="9"/>
      <c r="AW488" s="9"/>
      <c r="AX488" s="9"/>
    </row>
    <row r="489" spans="1:50" ht="15.75" customHeight="1" x14ac:dyDescent="0.2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212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  <c r="AA489" s="212"/>
      <c r="AB489" s="9"/>
      <c r="AC489" s="9"/>
      <c r="AD489" s="9"/>
      <c r="AE489" s="9"/>
      <c r="AF489" s="9"/>
      <c r="AG489" s="9"/>
      <c r="AH489" s="9"/>
      <c r="AI489" s="9"/>
      <c r="AJ489" s="9"/>
      <c r="AK489" s="9"/>
      <c r="AL489" s="9"/>
      <c r="AM489" s="9"/>
      <c r="AN489" s="9"/>
      <c r="AO489" s="9"/>
      <c r="AP489" s="9"/>
      <c r="AQ489" s="9"/>
      <c r="AR489" s="9"/>
      <c r="AS489" s="9"/>
      <c r="AT489" s="9"/>
      <c r="AU489" s="9"/>
      <c r="AV489" s="9"/>
      <c r="AW489" s="9"/>
      <c r="AX489" s="9"/>
    </row>
    <row r="490" spans="1:50" ht="15.75" customHeight="1" x14ac:dyDescent="0.2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212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  <c r="AA490" s="212"/>
      <c r="AB490" s="9"/>
      <c r="AC490" s="9"/>
      <c r="AD490" s="9"/>
      <c r="AE490" s="9"/>
      <c r="AF490" s="9"/>
      <c r="AG490" s="9"/>
      <c r="AH490" s="9"/>
      <c r="AI490" s="9"/>
      <c r="AJ490" s="9"/>
      <c r="AK490" s="9"/>
      <c r="AL490" s="9"/>
      <c r="AM490" s="9"/>
      <c r="AN490" s="9"/>
      <c r="AO490" s="9"/>
      <c r="AP490" s="9"/>
      <c r="AQ490" s="9"/>
      <c r="AR490" s="9"/>
      <c r="AS490" s="9"/>
      <c r="AT490" s="9"/>
      <c r="AU490" s="9"/>
      <c r="AV490" s="9"/>
      <c r="AW490" s="9"/>
      <c r="AX490" s="9"/>
    </row>
    <row r="491" spans="1:50" ht="15.75" customHeight="1" x14ac:dyDescent="0.2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212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  <c r="AA491" s="212"/>
      <c r="AB491" s="9"/>
      <c r="AC491" s="9"/>
      <c r="AD491" s="9"/>
      <c r="AE491" s="9"/>
      <c r="AF491" s="9"/>
      <c r="AG491" s="9"/>
      <c r="AH491" s="9"/>
      <c r="AI491" s="9"/>
      <c r="AJ491" s="9"/>
      <c r="AK491" s="9"/>
      <c r="AL491" s="9"/>
      <c r="AM491" s="9"/>
      <c r="AN491" s="9"/>
      <c r="AO491" s="9"/>
      <c r="AP491" s="9"/>
      <c r="AQ491" s="9"/>
      <c r="AR491" s="9"/>
      <c r="AS491" s="9"/>
      <c r="AT491" s="9"/>
      <c r="AU491" s="9"/>
      <c r="AV491" s="9"/>
      <c r="AW491" s="9"/>
      <c r="AX491" s="9"/>
    </row>
    <row r="492" spans="1:50" ht="15.75" customHeight="1" x14ac:dyDescent="0.2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212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  <c r="AA492" s="212"/>
      <c r="AB492" s="9"/>
      <c r="AC492" s="9"/>
      <c r="AD492" s="9"/>
      <c r="AE492" s="9"/>
      <c r="AF492" s="9"/>
      <c r="AG492" s="9"/>
      <c r="AH492" s="9"/>
      <c r="AI492" s="9"/>
      <c r="AJ492" s="9"/>
      <c r="AK492" s="9"/>
      <c r="AL492" s="9"/>
      <c r="AM492" s="9"/>
      <c r="AN492" s="9"/>
      <c r="AO492" s="9"/>
      <c r="AP492" s="9"/>
      <c r="AQ492" s="9"/>
      <c r="AR492" s="9"/>
      <c r="AS492" s="9"/>
      <c r="AT492" s="9"/>
      <c r="AU492" s="9"/>
      <c r="AV492" s="9"/>
      <c r="AW492" s="9"/>
      <c r="AX492" s="9"/>
    </row>
    <row r="493" spans="1:50" ht="15.75" customHeight="1" x14ac:dyDescent="0.2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212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  <c r="AA493" s="212"/>
      <c r="AB493" s="9"/>
      <c r="AC493" s="9"/>
      <c r="AD493" s="9"/>
      <c r="AE493" s="9"/>
      <c r="AF493" s="9"/>
      <c r="AG493" s="9"/>
      <c r="AH493" s="9"/>
      <c r="AI493" s="9"/>
      <c r="AJ493" s="9"/>
      <c r="AK493" s="9"/>
      <c r="AL493" s="9"/>
      <c r="AM493" s="9"/>
      <c r="AN493" s="9"/>
      <c r="AO493" s="9"/>
      <c r="AP493" s="9"/>
      <c r="AQ493" s="9"/>
      <c r="AR493" s="9"/>
      <c r="AS493" s="9"/>
      <c r="AT493" s="9"/>
      <c r="AU493" s="9"/>
      <c r="AV493" s="9"/>
      <c r="AW493" s="9"/>
      <c r="AX493" s="9"/>
    </row>
    <row r="494" spans="1:50" ht="15.75" customHeight="1" x14ac:dyDescent="0.2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212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  <c r="AA494" s="212"/>
      <c r="AB494" s="9"/>
      <c r="AC494" s="9"/>
      <c r="AD494" s="9"/>
      <c r="AE494" s="9"/>
      <c r="AF494" s="9"/>
      <c r="AG494" s="9"/>
      <c r="AH494" s="9"/>
      <c r="AI494" s="9"/>
      <c r="AJ494" s="9"/>
      <c r="AK494" s="9"/>
      <c r="AL494" s="9"/>
      <c r="AM494" s="9"/>
      <c r="AN494" s="9"/>
      <c r="AO494" s="9"/>
      <c r="AP494" s="9"/>
      <c r="AQ494" s="9"/>
      <c r="AR494" s="9"/>
      <c r="AS494" s="9"/>
      <c r="AT494" s="9"/>
      <c r="AU494" s="9"/>
      <c r="AV494" s="9"/>
      <c r="AW494" s="9"/>
      <c r="AX494" s="9"/>
    </row>
    <row r="495" spans="1:50" ht="15.75" customHeight="1" x14ac:dyDescent="0.2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212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  <c r="AA495" s="212"/>
      <c r="AB495" s="9"/>
      <c r="AC495" s="9"/>
      <c r="AD495" s="9"/>
      <c r="AE495" s="9"/>
      <c r="AF495" s="9"/>
      <c r="AG495" s="9"/>
      <c r="AH495" s="9"/>
      <c r="AI495" s="9"/>
      <c r="AJ495" s="9"/>
      <c r="AK495" s="9"/>
      <c r="AL495" s="9"/>
      <c r="AM495" s="9"/>
      <c r="AN495" s="9"/>
      <c r="AO495" s="9"/>
      <c r="AP495" s="9"/>
      <c r="AQ495" s="9"/>
      <c r="AR495" s="9"/>
      <c r="AS495" s="9"/>
      <c r="AT495" s="9"/>
      <c r="AU495" s="9"/>
      <c r="AV495" s="9"/>
      <c r="AW495" s="9"/>
      <c r="AX495" s="9"/>
    </row>
    <row r="496" spans="1:50" ht="15.75" customHeight="1" x14ac:dyDescent="0.2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212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  <c r="AA496" s="212"/>
      <c r="AB496" s="9"/>
      <c r="AC496" s="9"/>
      <c r="AD496" s="9"/>
      <c r="AE496" s="9"/>
      <c r="AF496" s="9"/>
      <c r="AG496" s="9"/>
      <c r="AH496" s="9"/>
      <c r="AI496" s="9"/>
      <c r="AJ496" s="9"/>
      <c r="AK496" s="9"/>
      <c r="AL496" s="9"/>
      <c r="AM496" s="9"/>
      <c r="AN496" s="9"/>
      <c r="AO496" s="9"/>
      <c r="AP496" s="9"/>
      <c r="AQ496" s="9"/>
      <c r="AR496" s="9"/>
      <c r="AS496" s="9"/>
      <c r="AT496" s="9"/>
      <c r="AU496" s="9"/>
      <c r="AV496" s="9"/>
      <c r="AW496" s="9"/>
      <c r="AX496" s="9"/>
    </row>
    <row r="497" spans="1:50" ht="15.75" customHeight="1" x14ac:dyDescent="0.2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212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  <c r="AA497" s="212"/>
      <c r="AB497" s="9"/>
      <c r="AC497" s="9"/>
      <c r="AD497" s="9"/>
      <c r="AE497" s="9"/>
      <c r="AF497" s="9"/>
      <c r="AG497" s="9"/>
      <c r="AH497" s="9"/>
      <c r="AI497" s="9"/>
      <c r="AJ497" s="9"/>
      <c r="AK497" s="9"/>
      <c r="AL497" s="9"/>
      <c r="AM497" s="9"/>
      <c r="AN497" s="9"/>
      <c r="AO497" s="9"/>
      <c r="AP497" s="9"/>
      <c r="AQ497" s="9"/>
      <c r="AR497" s="9"/>
      <c r="AS497" s="9"/>
      <c r="AT497" s="9"/>
      <c r="AU497" s="9"/>
      <c r="AV497" s="9"/>
      <c r="AW497" s="9"/>
      <c r="AX497" s="9"/>
    </row>
    <row r="498" spans="1:50" ht="15.75" customHeight="1" x14ac:dyDescent="0.2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212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  <c r="AA498" s="212"/>
      <c r="AB498" s="9"/>
      <c r="AC498" s="9"/>
      <c r="AD498" s="9"/>
      <c r="AE498" s="9"/>
      <c r="AF498" s="9"/>
      <c r="AG498" s="9"/>
      <c r="AH498" s="9"/>
      <c r="AI498" s="9"/>
      <c r="AJ498" s="9"/>
      <c r="AK498" s="9"/>
      <c r="AL498" s="9"/>
      <c r="AM498" s="9"/>
      <c r="AN498" s="9"/>
      <c r="AO498" s="9"/>
      <c r="AP498" s="9"/>
      <c r="AQ498" s="9"/>
      <c r="AR498" s="9"/>
      <c r="AS498" s="9"/>
      <c r="AT498" s="9"/>
      <c r="AU498" s="9"/>
      <c r="AV498" s="9"/>
      <c r="AW498" s="9"/>
      <c r="AX498" s="9"/>
    </row>
    <row r="499" spans="1:50" ht="15.75" customHeight="1" x14ac:dyDescent="0.2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212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  <c r="AA499" s="212"/>
      <c r="AB499" s="9"/>
      <c r="AC499" s="9"/>
      <c r="AD499" s="9"/>
      <c r="AE499" s="9"/>
      <c r="AF499" s="9"/>
      <c r="AG499" s="9"/>
      <c r="AH499" s="9"/>
      <c r="AI499" s="9"/>
      <c r="AJ499" s="9"/>
      <c r="AK499" s="9"/>
      <c r="AL499" s="9"/>
      <c r="AM499" s="9"/>
      <c r="AN499" s="9"/>
      <c r="AO499" s="9"/>
      <c r="AP499" s="9"/>
      <c r="AQ499" s="9"/>
      <c r="AR499" s="9"/>
      <c r="AS499" s="9"/>
      <c r="AT499" s="9"/>
      <c r="AU499" s="9"/>
      <c r="AV499" s="9"/>
      <c r="AW499" s="9"/>
      <c r="AX499" s="9"/>
    </row>
    <row r="500" spans="1:50" ht="15.75" customHeight="1" x14ac:dyDescent="0.2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212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  <c r="AA500" s="212"/>
      <c r="AB500" s="9"/>
      <c r="AC500" s="9"/>
      <c r="AD500" s="9"/>
      <c r="AE500" s="9"/>
      <c r="AF500" s="9"/>
      <c r="AG500" s="9"/>
      <c r="AH500" s="9"/>
      <c r="AI500" s="9"/>
      <c r="AJ500" s="9"/>
      <c r="AK500" s="9"/>
      <c r="AL500" s="9"/>
      <c r="AM500" s="9"/>
      <c r="AN500" s="9"/>
      <c r="AO500" s="9"/>
      <c r="AP500" s="9"/>
      <c r="AQ500" s="9"/>
      <c r="AR500" s="9"/>
      <c r="AS500" s="9"/>
      <c r="AT500" s="9"/>
      <c r="AU500" s="9"/>
      <c r="AV500" s="9"/>
      <c r="AW500" s="9"/>
      <c r="AX500" s="9"/>
    </row>
    <row r="501" spans="1:50" ht="15.75" customHeight="1" x14ac:dyDescent="0.2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212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  <c r="AA501" s="212"/>
      <c r="AB501" s="9"/>
      <c r="AC501" s="9"/>
      <c r="AD501" s="9"/>
      <c r="AE501" s="9"/>
      <c r="AF501" s="9"/>
      <c r="AG501" s="9"/>
      <c r="AH501" s="9"/>
      <c r="AI501" s="9"/>
      <c r="AJ501" s="9"/>
      <c r="AK501" s="9"/>
      <c r="AL501" s="9"/>
      <c r="AM501" s="9"/>
      <c r="AN501" s="9"/>
      <c r="AO501" s="9"/>
      <c r="AP501" s="9"/>
      <c r="AQ501" s="9"/>
      <c r="AR501" s="9"/>
      <c r="AS501" s="9"/>
      <c r="AT501" s="9"/>
      <c r="AU501" s="9"/>
      <c r="AV501" s="9"/>
      <c r="AW501" s="9"/>
      <c r="AX501" s="9"/>
    </row>
    <row r="502" spans="1:50" ht="15.75" customHeight="1" x14ac:dyDescent="0.2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212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  <c r="AA502" s="212"/>
      <c r="AB502" s="9"/>
      <c r="AC502" s="9"/>
      <c r="AD502" s="9"/>
      <c r="AE502" s="9"/>
      <c r="AF502" s="9"/>
      <c r="AG502" s="9"/>
      <c r="AH502" s="9"/>
      <c r="AI502" s="9"/>
      <c r="AJ502" s="9"/>
      <c r="AK502" s="9"/>
      <c r="AL502" s="9"/>
      <c r="AM502" s="9"/>
      <c r="AN502" s="9"/>
      <c r="AO502" s="9"/>
      <c r="AP502" s="9"/>
      <c r="AQ502" s="9"/>
      <c r="AR502" s="9"/>
      <c r="AS502" s="9"/>
      <c r="AT502" s="9"/>
      <c r="AU502" s="9"/>
      <c r="AV502" s="9"/>
      <c r="AW502" s="9"/>
      <c r="AX502" s="9"/>
    </row>
    <row r="503" spans="1:50" ht="15.75" customHeight="1" x14ac:dyDescent="0.2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212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  <c r="AA503" s="212"/>
      <c r="AB503" s="9"/>
      <c r="AC503" s="9"/>
      <c r="AD503" s="9"/>
      <c r="AE503" s="9"/>
      <c r="AF503" s="9"/>
      <c r="AG503" s="9"/>
      <c r="AH503" s="9"/>
      <c r="AI503" s="9"/>
      <c r="AJ503" s="9"/>
      <c r="AK503" s="9"/>
      <c r="AL503" s="9"/>
      <c r="AM503" s="9"/>
      <c r="AN503" s="9"/>
      <c r="AO503" s="9"/>
      <c r="AP503" s="9"/>
      <c r="AQ503" s="9"/>
      <c r="AR503" s="9"/>
      <c r="AS503" s="9"/>
      <c r="AT503" s="9"/>
      <c r="AU503" s="9"/>
      <c r="AV503" s="9"/>
      <c r="AW503" s="9"/>
      <c r="AX503" s="9"/>
    </row>
    <row r="504" spans="1:50" ht="15.75" customHeight="1" x14ac:dyDescent="0.2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212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  <c r="AA504" s="212"/>
      <c r="AB504" s="9"/>
      <c r="AC504" s="9"/>
      <c r="AD504" s="9"/>
      <c r="AE504" s="9"/>
      <c r="AF504" s="9"/>
      <c r="AG504" s="9"/>
      <c r="AH504" s="9"/>
      <c r="AI504" s="9"/>
      <c r="AJ504" s="9"/>
      <c r="AK504" s="9"/>
      <c r="AL504" s="9"/>
      <c r="AM504" s="9"/>
      <c r="AN504" s="9"/>
      <c r="AO504" s="9"/>
      <c r="AP504" s="9"/>
      <c r="AQ504" s="9"/>
      <c r="AR504" s="9"/>
      <c r="AS504" s="9"/>
      <c r="AT504" s="9"/>
      <c r="AU504" s="9"/>
      <c r="AV504" s="9"/>
      <c r="AW504" s="9"/>
      <c r="AX504" s="9"/>
    </row>
    <row r="505" spans="1:50" ht="15.75" customHeight="1" x14ac:dyDescent="0.2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212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  <c r="AA505" s="212"/>
      <c r="AB505" s="9"/>
      <c r="AC505" s="9"/>
      <c r="AD505" s="9"/>
      <c r="AE505" s="9"/>
      <c r="AF505" s="9"/>
      <c r="AG505" s="9"/>
      <c r="AH505" s="9"/>
      <c r="AI505" s="9"/>
      <c r="AJ505" s="9"/>
      <c r="AK505" s="9"/>
      <c r="AL505" s="9"/>
      <c r="AM505" s="9"/>
      <c r="AN505" s="9"/>
      <c r="AO505" s="9"/>
      <c r="AP505" s="9"/>
      <c r="AQ505" s="9"/>
      <c r="AR505" s="9"/>
      <c r="AS505" s="9"/>
      <c r="AT505" s="9"/>
      <c r="AU505" s="9"/>
      <c r="AV505" s="9"/>
      <c r="AW505" s="9"/>
      <c r="AX505" s="9"/>
    </row>
    <row r="506" spans="1:50" ht="15.75" customHeight="1" x14ac:dyDescent="0.2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212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  <c r="AA506" s="212"/>
      <c r="AB506" s="9"/>
      <c r="AC506" s="9"/>
      <c r="AD506" s="9"/>
      <c r="AE506" s="9"/>
      <c r="AF506" s="9"/>
      <c r="AG506" s="9"/>
      <c r="AH506" s="9"/>
      <c r="AI506" s="9"/>
      <c r="AJ506" s="9"/>
      <c r="AK506" s="9"/>
      <c r="AL506" s="9"/>
      <c r="AM506" s="9"/>
      <c r="AN506" s="9"/>
      <c r="AO506" s="9"/>
      <c r="AP506" s="9"/>
      <c r="AQ506" s="9"/>
      <c r="AR506" s="9"/>
      <c r="AS506" s="9"/>
      <c r="AT506" s="9"/>
      <c r="AU506" s="9"/>
      <c r="AV506" s="9"/>
      <c r="AW506" s="9"/>
      <c r="AX506" s="9"/>
    </row>
    <row r="507" spans="1:50" ht="15.75" customHeight="1" x14ac:dyDescent="0.2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212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  <c r="AA507" s="212"/>
      <c r="AB507" s="9"/>
      <c r="AC507" s="9"/>
      <c r="AD507" s="9"/>
      <c r="AE507" s="9"/>
      <c r="AF507" s="9"/>
      <c r="AG507" s="9"/>
      <c r="AH507" s="9"/>
      <c r="AI507" s="9"/>
      <c r="AJ507" s="9"/>
      <c r="AK507" s="9"/>
      <c r="AL507" s="9"/>
      <c r="AM507" s="9"/>
      <c r="AN507" s="9"/>
      <c r="AO507" s="9"/>
      <c r="AP507" s="9"/>
      <c r="AQ507" s="9"/>
      <c r="AR507" s="9"/>
      <c r="AS507" s="9"/>
      <c r="AT507" s="9"/>
      <c r="AU507" s="9"/>
      <c r="AV507" s="9"/>
      <c r="AW507" s="9"/>
      <c r="AX507" s="9"/>
    </row>
    <row r="508" spans="1:50" ht="15.75" customHeight="1" x14ac:dyDescent="0.2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212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  <c r="AA508" s="212"/>
      <c r="AB508" s="9"/>
      <c r="AC508" s="9"/>
      <c r="AD508" s="9"/>
      <c r="AE508" s="9"/>
      <c r="AF508" s="9"/>
      <c r="AG508" s="9"/>
      <c r="AH508" s="9"/>
      <c r="AI508" s="9"/>
      <c r="AJ508" s="9"/>
      <c r="AK508" s="9"/>
      <c r="AL508" s="9"/>
      <c r="AM508" s="9"/>
      <c r="AN508" s="9"/>
      <c r="AO508" s="9"/>
      <c r="AP508" s="9"/>
      <c r="AQ508" s="9"/>
      <c r="AR508" s="9"/>
      <c r="AS508" s="9"/>
      <c r="AT508" s="9"/>
      <c r="AU508" s="9"/>
      <c r="AV508" s="9"/>
      <c r="AW508" s="9"/>
      <c r="AX508" s="9"/>
    </row>
    <row r="509" spans="1:50" ht="15.75" customHeight="1" x14ac:dyDescent="0.2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212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  <c r="AA509" s="212"/>
      <c r="AB509" s="9"/>
      <c r="AC509" s="9"/>
      <c r="AD509" s="9"/>
      <c r="AE509" s="9"/>
      <c r="AF509" s="9"/>
      <c r="AG509" s="9"/>
      <c r="AH509" s="9"/>
      <c r="AI509" s="9"/>
      <c r="AJ509" s="9"/>
      <c r="AK509" s="9"/>
      <c r="AL509" s="9"/>
      <c r="AM509" s="9"/>
      <c r="AN509" s="9"/>
      <c r="AO509" s="9"/>
      <c r="AP509" s="9"/>
      <c r="AQ509" s="9"/>
      <c r="AR509" s="9"/>
      <c r="AS509" s="9"/>
      <c r="AT509" s="9"/>
      <c r="AU509" s="9"/>
      <c r="AV509" s="9"/>
      <c r="AW509" s="9"/>
      <c r="AX509" s="9"/>
    </row>
    <row r="510" spans="1:50" ht="15.75" customHeight="1" x14ac:dyDescent="0.2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212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  <c r="AA510" s="212"/>
      <c r="AB510" s="9"/>
      <c r="AC510" s="9"/>
      <c r="AD510" s="9"/>
      <c r="AE510" s="9"/>
      <c r="AF510" s="9"/>
      <c r="AG510" s="9"/>
      <c r="AH510" s="9"/>
      <c r="AI510" s="9"/>
      <c r="AJ510" s="9"/>
      <c r="AK510" s="9"/>
      <c r="AL510" s="9"/>
      <c r="AM510" s="9"/>
      <c r="AN510" s="9"/>
      <c r="AO510" s="9"/>
      <c r="AP510" s="9"/>
      <c r="AQ510" s="9"/>
      <c r="AR510" s="9"/>
      <c r="AS510" s="9"/>
      <c r="AT510" s="9"/>
      <c r="AU510" s="9"/>
      <c r="AV510" s="9"/>
      <c r="AW510" s="9"/>
      <c r="AX510" s="9"/>
    </row>
    <row r="511" spans="1:50" ht="15.75" customHeight="1" x14ac:dyDescent="0.2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212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  <c r="AA511" s="212"/>
      <c r="AB511" s="9"/>
      <c r="AC511" s="9"/>
      <c r="AD511" s="9"/>
      <c r="AE511" s="9"/>
      <c r="AF511" s="9"/>
      <c r="AG511" s="9"/>
      <c r="AH511" s="9"/>
      <c r="AI511" s="9"/>
      <c r="AJ511" s="9"/>
      <c r="AK511" s="9"/>
      <c r="AL511" s="9"/>
      <c r="AM511" s="9"/>
      <c r="AN511" s="9"/>
      <c r="AO511" s="9"/>
      <c r="AP511" s="9"/>
      <c r="AQ511" s="9"/>
      <c r="AR511" s="9"/>
      <c r="AS511" s="9"/>
      <c r="AT511" s="9"/>
      <c r="AU511" s="9"/>
      <c r="AV511" s="9"/>
      <c r="AW511" s="9"/>
      <c r="AX511" s="9"/>
    </row>
    <row r="512" spans="1:50" ht="15.75" customHeight="1" x14ac:dyDescent="0.2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212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  <c r="AA512" s="212"/>
      <c r="AB512" s="9"/>
      <c r="AC512" s="9"/>
      <c r="AD512" s="9"/>
      <c r="AE512" s="9"/>
      <c r="AF512" s="9"/>
      <c r="AG512" s="9"/>
      <c r="AH512" s="9"/>
      <c r="AI512" s="9"/>
      <c r="AJ512" s="9"/>
      <c r="AK512" s="9"/>
      <c r="AL512" s="9"/>
      <c r="AM512" s="9"/>
      <c r="AN512" s="9"/>
      <c r="AO512" s="9"/>
      <c r="AP512" s="9"/>
      <c r="AQ512" s="9"/>
      <c r="AR512" s="9"/>
      <c r="AS512" s="9"/>
      <c r="AT512" s="9"/>
      <c r="AU512" s="9"/>
      <c r="AV512" s="9"/>
      <c r="AW512" s="9"/>
      <c r="AX512" s="9"/>
    </row>
    <row r="513" spans="1:50" ht="15.75" customHeight="1" x14ac:dyDescent="0.2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212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  <c r="AA513" s="212"/>
      <c r="AB513" s="9"/>
      <c r="AC513" s="9"/>
      <c r="AD513" s="9"/>
      <c r="AE513" s="9"/>
      <c r="AF513" s="9"/>
      <c r="AG513" s="9"/>
      <c r="AH513" s="9"/>
      <c r="AI513" s="9"/>
      <c r="AJ513" s="9"/>
      <c r="AK513" s="9"/>
      <c r="AL513" s="9"/>
      <c r="AM513" s="9"/>
      <c r="AN513" s="9"/>
      <c r="AO513" s="9"/>
      <c r="AP513" s="9"/>
      <c r="AQ513" s="9"/>
      <c r="AR513" s="9"/>
      <c r="AS513" s="9"/>
      <c r="AT513" s="9"/>
      <c r="AU513" s="9"/>
      <c r="AV513" s="9"/>
      <c r="AW513" s="9"/>
      <c r="AX513" s="9"/>
    </row>
    <row r="514" spans="1:50" ht="15.75" customHeight="1" x14ac:dyDescent="0.2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212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  <c r="AA514" s="212"/>
      <c r="AB514" s="9"/>
      <c r="AC514" s="9"/>
      <c r="AD514" s="9"/>
      <c r="AE514" s="9"/>
      <c r="AF514" s="9"/>
      <c r="AG514" s="9"/>
      <c r="AH514" s="9"/>
      <c r="AI514" s="9"/>
      <c r="AJ514" s="9"/>
      <c r="AK514" s="9"/>
      <c r="AL514" s="9"/>
      <c r="AM514" s="9"/>
      <c r="AN514" s="9"/>
      <c r="AO514" s="9"/>
      <c r="AP514" s="9"/>
      <c r="AQ514" s="9"/>
      <c r="AR514" s="9"/>
      <c r="AS514" s="9"/>
      <c r="AT514" s="9"/>
      <c r="AU514" s="9"/>
      <c r="AV514" s="9"/>
      <c r="AW514" s="9"/>
      <c r="AX514" s="9"/>
    </row>
    <row r="515" spans="1:50" ht="15.75" customHeight="1" x14ac:dyDescent="0.2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212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  <c r="AA515" s="212"/>
      <c r="AB515" s="9"/>
      <c r="AC515" s="9"/>
      <c r="AD515" s="9"/>
      <c r="AE515" s="9"/>
      <c r="AF515" s="9"/>
      <c r="AG515" s="9"/>
      <c r="AH515" s="9"/>
      <c r="AI515" s="9"/>
      <c r="AJ515" s="9"/>
      <c r="AK515" s="9"/>
      <c r="AL515" s="9"/>
      <c r="AM515" s="9"/>
      <c r="AN515" s="9"/>
      <c r="AO515" s="9"/>
      <c r="AP515" s="9"/>
      <c r="AQ515" s="9"/>
      <c r="AR515" s="9"/>
      <c r="AS515" s="9"/>
      <c r="AT515" s="9"/>
      <c r="AU515" s="9"/>
      <c r="AV515" s="9"/>
      <c r="AW515" s="9"/>
      <c r="AX515" s="9"/>
    </row>
    <row r="516" spans="1:50" ht="15.75" customHeight="1" x14ac:dyDescent="0.2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212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  <c r="AA516" s="212"/>
      <c r="AB516" s="9"/>
      <c r="AC516" s="9"/>
      <c r="AD516" s="9"/>
      <c r="AE516" s="9"/>
      <c r="AF516" s="9"/>
      <c r="AG516" s="9"/>
      <c r="AH516" s="9"/>
      <c r="AI516" s="9"/>
      <c r="AJ516" s="9"/>
      <c r="AK516" s="9"/>
      <c r="AL516" s="9"/>
      <c r="AM516" s="9"/>
      <c r="AN516" s="9"/>
      <c r="AO516" s="9"/>
      <c r="AP516" s="9"/>
      <c r="AQ516" s="9"/>
      <c r="AR516" s="9"/>
      <c r="AS516" s="9"/>
      <c r="AT516" s="9"/>
      <c r="AU516" s="9"/>
      <c r="AV516" s="9"/>
      <c r="AW516" s="9"/>
      <c r="AX516" s="9"/>
    </row>
    <row r="517" spans="1:50" ht="15.75" customHeight="1" x14ac:dyDescent="0.2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212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  <c r="AA517" s="212"/>
      <c r="AB517" s="9"/>
      <c r="AC517" s="9"/>
      <c r="AD517" s="9"/>
      <c r="AE517" s="9"/>
      <c r="AF517" s="9"/>
      <c r="AG517" s="9"/>
      <c r="AH517" s="9"/>
      <c r="AI517" s="9"/>
      <c r="AJ517" s="9"/>
      <c r="AK517" s="9"/>
      <c r="AL517" s="9"/>
      <c r="AM517" s="9"/>
      <c r="AN517" s="9"/>
      <c r="AO517" s="9"/>
      <c r="AP517" s="9"/>
      <c r="AQ517" s="9"/>
      <c r="AR517" s="9"/>
      <c r="AS517" s="9"/>
      <c r="AT517" s="9"/>
      <c r="AU517" s="9"/>
      <c r="AV517" s="9"/>
      <c r="AW517" s="9"/>
      <c r="AX517" s="9"/>
    </row>
    <row r="518" spans="1:50" ht="15.75" customHeight="1" x14ac:dyDescent="0.2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212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  <c r="AA518" s="212"/>
      <c r="AB518" s="9"/>
      <c r="AC518" s="9"/>
      <c r="AD518" s="9"/>
      <c r="AE518" s="9"/>
      <c r="AF518" s="9"/>
      <c r="AG518" s="9"/>
      <c r="AH518" s="9"/>
      <c r="AI518" s="9"/>
      <c r="AJ518" s="9"/>
      <c r="AK518" s="9"/>
      <c r="AL518" s="9"/>
      <c r="AM518" s="9"/>
      <c r="AN518" s="9"/>
      <c r="AO518" s="9"/>
      <c r="AP518" s="9"/>
      <c r="AQ518" s="9"/>
      <c r="AR518" s="9"/>
      <c r="AS518" s="9"/>
      <c r="AT518" s="9"/>
      <c r="AU518" s="9"/>
      <c r="AV518" s="9"/>
      <c r="AW518" s="9"/>
      <c r="AX518" s="9"/>
    </row>
    <row r="519" spans="1:50" ht="15.75" customHeight="1" x14ac:dyDescent="0.2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212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  <c r="AA519" s="212"/>
      <c r="AB519" s="9"/>
      <c r="AC519" s="9"/>
      <c r="AD519" s="9"/>
      <c r="AE519" s="9"/>
      <c r="AF519" s="9"/>
      <c r="AG519" s="9"/>
      <c r="AH519" s="9"/>
      <c r="AI519" s="9"/>
      <c r="AJ519" s="9"/>
      <c r="AK519" s="9"/>
      <c r="AL519" s="9"/>
      <c r="AM519" s="9"/>
      <c r="AN519" s="9"/>
      <c r="AO519" s="9"/>
      <c r="AP519" s="9"/>
      <c r="AQ519" s="9"/>
      <c r="AR519" s="9"/>
      <c r="AS519" s="9"/>
      <c r="AT519" s="9"/>
      <c r="AU519" s="9"/>
      <c r="AV519" s="9"/>
      <c r="AW519" s="9"/>
      <c r="AX519" s="9"/>
    </row>
    <row r="520" spans="1:50" ht="15.75" customHeight="1" x14ac:dyDescent="0.2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212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  <c r="AA520" s="212"/>
      <c r="AB520" s="9"/>
      <c r="AC520" s="9"/>
      <c r="AD520" s="9"/>
      <c r="AE520" s="9"/>
      <c r="AF520" s="9"/>
      <c r="AG520" s="9"/>
      <c r="AH520" s="9"/>
      <c r="AI520" s="9"/>
      <c r="AJ520" s="9"/>
      <c r="AK520" s="9"/>
      <c r="AL520" s="9"/>
      <c r="AM520" s="9"/>
      <c r="AN520" s="9"/>
      <c r="AO520" s="9"/>
      <c r="AP520" s="9"/>
      <c r="AQ520" s="9"/>
      <c r="AR520" s="9"/>
      <c r="AS520" s="9"/>
      <c r="AT520" s="9"/>
      <c r="AU520" s="9"/>
      <c r="AV520" s="9"/>
      <c r="AW520" s="9"/>
      <c r="AX520" s="9"/>
    </row>
    <row r="521" spans="1:50" ht="15.75" customHeight="1" x14ac:dyDescent="0.2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212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  <c r="AA521" s="212"/>
      <c r="AB521" s="9"/>
      <c r="AC521" s="9"/>
      <c r="AD521" s="9"/>
      <c r="AE521" s="9"/>
      <c r="AF521" s="9"/>
      <c r="AG521" s="9"/>
      <c r="AH521" s="9"/>
      <c r="AI521" s="9"/>
      <c r="AJ521" s="9"/>
      <c r="AK521" s="9"/>
      <c r="AL521" s="9"/>
      <c r="AM521" s="9"/>
      <c r="AN521" s="9"/>
      <c r="AO521" s="9"/>
      <c r="AP521" s="9"/>
      <c r="AQ521" s="9"/>
      <c r="AR521" s="9"/>
      <c r="AS521" s="9"/>
      <c r="AT521" s="9"/>
      <c r="AU521" s="9"/>
      <c r="AV521" s="9"/>
      <c r="AW521" s="9"/>
      <c r="AX521" s="9"/>
    </row>
    <row r="522" spans="1:50" ht="15.75" customHeight="1" x14ac:dyDescent="0.2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212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  <c r="AA522" s="212"/>
      <c r="AB522" s="9"/>
      <c r="AC522" s="9"/>
      <c r="AD522" s="9"/>
      <c r="AE522" s="9"/>
      <c r="AF522" s="9"/>
      <c r="AG522" s="9"/>
      <c r="AH522" s="9"/>
      <c r="AI522" s="9"/>
      <c r="AJ522" s="9"/>
      <c r="AK522" s="9"/>
      <c r="AL522" s="9"/>
      <c r="AM522" s="9"/>
      <c r="AN522" s="9"/>
      <c r="AO522" s="9"/>
      <c r="AP522" s="9"/>
      <c r="AQ522" s="9"/>
      <c r="AR522" s="9"/>
      <c r="AS522" s="9"/>
      <c r="AT522" s="9"/>
      <c r="AU522" s="9"/>
      <c r="AV522" s="9"/>
      <c r="AW522" s="9"/>
      <c r="AX522" s="9"/>
    </row>
    <row r="523" spans="1:50" ht="15.75" customHeight="1" x14ac:dyDescent="0.2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212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  <c r="AA523" s="212"/>
      <c r="AB523" s="9"/>
      <c r="AC523" s="9"/>
      <c r="AD523" s="9"/>
      <c r="AE523" s="9"/>
      <c r="AF523" s="9"/>
      <c r="AG523" s="9"/>
      <c r="AH523" s="9"/>
      <c r="AI523" s="9"/>
      <c r="AJ523" s="9"/>
      <c r="AK523" s="9"/>
      <c r="AL523" s="9"/>
      <c r="AM523" s="9"/>
      <c r="AN523" s="9"/>
      <c r="AO523" s="9"/>
      <c r="AP523" s="9"/>
      <c r="AQ523" s="9"/>
      <c r="AR523" s="9"/>
      <c r="AS523" s="9"/>
      <c r="AT523" s="9"/>
      <c r="AU523" s="9"/>
      <c r="AV523" s="9"/>
      <c r="AW523" s="9"/>
      <c r="AX523" s="9"/>
    </row>
    <row r="524" spans="1:50" ht="15.75" customHeight="1" x14ac:dyDescent="0.2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212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  <c r="AA524" s="212"/>
      <c r="AB524" s="9"/>
      <c r="AC524" s="9"/>
      <c r="AD524" s="9"/>
      <c r="AE524" s="9"/>
      <c r="AF524" s="9"/>
      <c r="AG524" s="9"/>
      <c r="AH524" s="9"/>
      <c r="AI524" s="9"/>
      <c r="AJ524" s="9"/>
      <c r="AK524" s="9"/>
      <c r="AL524" s="9"/>
      <c r="AM524" s="9"/>
      <c r="AN524" s="9"/>
      <c r="AO524" s="9"/>
      <c r="AP524" s="9"/>
      <c r="AQ524" s="9"/>
      <c r="AR524" s="9"/>
      <c r="AS524" s="9"/>
      <c r="AT524" s="9"/>
      <c r="AU524" s="9"/>
      <c r="AV524" s="9"/>
      <c r="AW524" s="9"/>
      <c r="AX524" s="9"/>
    </row>
    <row r="525" spans="1:50" ht="15.75" customHeight="1" x14ac:dyDescent="0.2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212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  <c r="AA525" s="212"/>
      <c r="AB525" s="9"/>
      <c r="AC525" s="9"/>
      <c r="AD525" s="9"/>
      <c r="AE525" s="9"/>
      <c r="AF525" s="9"/>
      <c r="AG525" s="9"/>
      <c r="AH525" s="9"/>
      <c r="AI525" s="9"/>
      <c r="AJ525" s="9"/>
      <c r="AK525" s="9"/>
      <c r="AL525" s="9"/>
      <c r="AM525" s="9"/>
      <c r="AN525" s="9"/>
      <c r="AO525" s="9"/>
      <c r="AP525" s="9"/>
      <c r="AQ525" s="9"/>
      <c r="AR525" s="9"/>
      <c r="AS525" s="9"/>
      <c r="AT525" s="9"/>
      <c r="AU525" s="9"/>
      <c r="AV525" s="9"/>
      <c r="AW525" s="9"/>
      <c r="AX525" s="9"/>
    </row>
    <row r="526" spans="1:50" ht="15.75" customHeight="1" x14ac:dyDescent="0.2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212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  <c r="AA526" s="212"/>
      <c r="AB526" s="9"/>
      <c r="AC526" s="9"/>
      <c r="AD526" s="9"/>
      <c r="AE526" s="9"/>
      <c r="AF526" s="9"/>
      <c r="AG526" s="9"/>
      <c r="AH526" s="9"/>
      <c r="AI526" s="9"/>
      <c r="AJ526" s="9"/>
      <c r="AK526" s="9"/>
      <c r="AL526" s="9"/>
      <c r="AM526" s="9"/>
      <c r="AN526" s="9"/>
      <c r="AO526" s="9"/>
      <c r="AP526" s="9"/>
      <c r="AQ526" s="9"/>
      <c r="AR526" s="9"/>
      <c r="AS526" s="9"/>
      <c r="AT526" s="9"/>
      <c r="AU526" s="9"/>
      <c r="AV526" s="9"/>
      <c r="AW526" s="9"/>
      <c r="AX526" s="9"/>
    </row>
    <row r="527" spans="1:50" ht="15.75" customHeight="1" x14ac:dyDescent="0.2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212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  <c r="AA527" s="212"/>
      <c r="AB527" s="9"/>
      <c r="AC527" s="9"/>
      <c r="AD527" s="9"/>
      <c r="AE527" s="9"/>
      <c r="AF527" s="9"/>
      <c r="AG527" s="9"/>
      <c r="AH527" s="9"/>
      <c r="AI527" s="9"/>
      <c r="AJ527" s="9"/>
      <c r="AK527" s="9"/>
      <c r="AL527" s="9"/>
      <c r="AM527" s="9"/>
      <c r="AN527" s="9"/>
      <c r="AO527" s="9"/>
      <c r="AP527" s="9"/>
      <c r="AQ527" s="9"/>
      <c r="AR527" s="9"/>
      <c r="AS527" s="9"/>
      <c r="AT527" s="9"/>
      <c r="AU527" s="9"/>
      <c r="AV527" s="9"/>
      <c r="AW527" s="9"/>
      <c r="AX527" s="9"/>
    </row>
    <row r="528" spans="1:50" ht="15.75" customHeight="1" x14ac:dyDescent="0.2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212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  <c r="AA528" s="212"/>
      <c r="AB528" s="9"/>
      <c r="AC528" s="9"/>
      <c r="AD528" s="9"/>
      <c r="AE528" s="9"/>
      <c r="AF528" s="9"/>
      <c r="AG528" s="9"/>
      <c r="AH528" s="9"/>
      <c r="AI528" s="9"/>
      <c r="AJ528" s="9"/>
      <c r="AK528" s="9"/>
      <c r="AL528" s="9"/>
      <c r="AM528" s="9"/>
      <c r="AN528" s="9"/>
      <c r="AO528" s="9"/>
      <c r="AP528" s="9"/>
      <c r="AQ528" s="9"/>
      <c r="AR528" s="9"/>
      <c r="AS528" s="9"/>
      <c r="AT528" s="9"/>
      <c r="AU528" s="9"/>
      <c r="AV528" s="9"/>
      <c r="AW528" s="9"/>
      <c r="AX528" s="9"/>
    </row>
    <row r="529" spans="1:50" ht="15.75" customHeight="1" x14ac:dyDescent="0.2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212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  <c r="AA529" s="212"/>
      <c r="AB529" s="9"/>
      <c r="AC529" s="9"/>
      <c r="AD529" s="9"/>
      <c r="AE529" s="9"/>
      <c r="AF529" s="9"/>
      <c r="AG529" s="9"/>
      <c r="AH529" s="9"/>
      <c r="AI529" s="9"/>
      <c r="AJ529" s="9"/>
      <c r="AK529" s="9"/>
      <c r="AL529" s="9"/>
      <c r="AM529" s="9"/>
      <c r="AN529" s="9"/>
      <c r="AO529" s="9"/>
      <c r="AP529" s="9"/>
      <c r="AQ529" s="9"/>
      <c r="AR529" s="9"/>
      <c r="AS529" s="9"/>
      <c r="AT529" s="9"/>
      <c r="AU529" s="9"/>
      <c r="AV529" s="9"/>
      <c r="AW529" s="9"/>
      <c r="AX529" s="9"/>
    </row>
    <row r="530" spans="1:50" ht="15.75" customHeight="1" x14ac:dyDescent="0.2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212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  <c r="AA530" s="212"/>
      <c r="AB530" s="9"/>
      <c r="AC530" s="9"/>
      <c r="AD530" s="9"/>
      <c r="AE530" s="9"/>
      <c r="AF530" s="9"/>
      <c r="AG530" s="9"/>
      <c r="AH530" s="9"/>
      <c r="AI530" s="9"/>
      <c r="AJ530" s="9"/>
      <c r="AK530" s="9"/>
      <c r="AL530" s="9"/>
      <c r="AM530" s="9"/>
      <c r="AN530" s="9"/>
      <c r="AO530" s="9"/>
      <c r="AP530" s="9"/>
      <c r="AQ530" s="9"/>
      <c r="AR530" s="9"/>
      <c r="AS530" s="9"/>
      <c r="AT530" s="9"/>
      <c r="AU530" s="9"/>
      <c r="AV530" s="9"/>
      <c r="AW530" s="9"/>
      <c r="AX530" s="9"/>
    </row>
    <row r="531" spans="1:50" ht="15.75" customHeight="1" x14ac:dyDescent="0.2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212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  <c r="AA531" s="212"/>
      <c r="AB531" s="9"/>
      <c r="AC531" s="9"/>
      <c r="AD531" s="9"/>
      <c r="AE531" s="9"/>
      <c r="AF531" s="9"/>
      <c r="AG531" s="9"/>
      <c r="AH531" s="9"/>
      <c r="AI531" s="9"/>
      <c r="AJ531" s="9"/>
      <c r="AK531" s="9"/>
      <c r="AL531" s="9"/>
      <c r="AM531" s="9"/>
      <c r="AN531" s="9"/>
      <c r="AO531" s="9"/>
      <c r="AP531" s="9"/>
      <c r="AQ531" s="9"/>
      <c r="AR531" s="9"/>
      <c r="AS531" s="9"/>
      <c r="AT531" s="9"/>
      <c r="AU531" s="9"/>
      <c r="AV531" s="9"/>
      <c r="AW531" s="9"/>
      <c r="AX531" s="9"/>
    </row>
    <row r="532" spans="1:50" ht="15.75" customHeight="1" x14ac:dyDescent="0.2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212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  <c r="AA532" s="212"/>
      <c r="AB532" s="9"/>
      <c r="AC532" s="9"/>
      <c r="AD532" s="9"/>
      <c r="AE532" s="9"/>
      <c r="AF532" s="9"/>
      <c r="AG532" s="9"/>
      <c r="AH532" s="9"/>
      <c r="AI532" s="9"/>
      <c r="AJ532" s="9"/>
      <c r="AK532" s="9"/>
      <c r="AL532" s="9"/>
      <c r="AM532" s="9"/>
      <c r="AN532" s="9"/>
      <c r="AO532" s="9"/>
      <c r="AP532" s="9"/>
      <c r="AQ532" s="9"/>
      <c r="AR532" s="9"/>
      <c r="AS532" s="9"/>
      <c r="AT532" s="9"/>
      <c r="AU532" s="9"/>
      <c r="AV532" s="9"/>
      <c r="AW532" s="9"/>
      <c r="AX532" s="9"/>
    </row>
    <row r="533" spans="1:50" ht="15.75" customHeight="1" x14ac:dyDescent="0.2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212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  <c r="AA533" s="212"/>
      <c r="AB533" s="9"/>
      <c r="AC533" s="9"/>
      <c r="AD533" s="9"/>
      <c r="AE533" s="9"/>
      <c r="AF533" s="9"/>
      <c r="AG533" s="9"/>
      <c r="AH533" s="9"/>
      <c r="AI533" s="9"/>
      <c r="AJ533" s="9"/>
      <c r="AK533" s="9"/>
      <c r="AL533" s="9"/>
      <c r="AM533" s="9"/>
      <c r="AN533" s="9"/>
      <c r="AO533" s="9"/>
      <c r="AP533" s="9"/>
      <c r="AQ533" s="9"/>
      <c r="AR533" s="9"/>
      <c r="AS533" s="9"/>
      <c r="AT533" s="9"/>
      <c r="AU533" s="9"/>
      <c r="AV533" s="9"/>
      <c r="AW533" s="9"/>
      <c r="AX533" s="9"/>
    </row>
    <row r="534" spans="1:50" ht="15.75" customHeight="1" x14ac:dyDescent="0.2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212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  <c r="AA534" s="212"/>
      <c r="AB534" s="9"/>
      <c r="AC534" s="9"/>
      <c r="AD534" s="9"/>
      <c r="AE534" s="9"/>
      <c r="AF534" s="9"/>
      <c r="AG534" s="9"/>
      <c r="AH534" s="9"/>
      <c r="AI534" s="9"/>
      <c r="AJ534" s="9"/>
      <c r="AK534" s="9"/>
      <c r="AL534" s="9"/>
      <c r="AM534" s="9"/>
      <c r="AN534" s="9"/>
      <c r="AO534" s="9"/>
      <c r="AP534" s="9"/>
      <c r="AQ534" s="9"/>
      <c r="AR534" s="9"/>
      <c r="AS534" s="9"/>
      <c r="AT534" s="9"/>
      <c r="AU534" s="9"/>
      <c r="AV534" s="9"/>
      <c r="AW534" s="9"/>
      <c r="AX534" s="9"/>
    </row>
    <row r="535" spans="1:50" ht="15.75" customHeight="1" x14ac:dyDescent="0.2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212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  <c r="AA535" s="212"/>
      <c r="AB535" s="9"/>
      <c r="AC535" s="9"/>
      <c r="AD535" s="9"/>
      <c r="AE535" s="9"/>
      <c r="AF535" s="9"/>
      <c r="AG535" s="9"/>
      <c r="AH535" s="9"/>
      <c r="AI535" s="9"/>
      <c r="AJ535" s="9"/>
      <c r="AK535" s="9"/>
      <c r="AL535" s="9"/>
      <c r="AM535" s="9"/>
      <c r="AN535" s="9"/>
      <c r="AO535" s="9"/>
      <c r="AP535" s="9"/>
      <c r="AQ535" s="9"/>
      <c r="AR535" s="9"/>
      <c r="AS535" s="9"/>
      <c r="AT535" s="9"/>
      <c r="AU535" s="9"/>
      <c r="AV535" s="9"/>
      <c r="AW535" s="9"/>
      <c r="AX535" s="9"/>
    </row>
    <row r="536" spans="1:50" ht="15.75" customHeight="1" x14ac:dyDescent="0.2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212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  <c r="AA536" s="212"/>
      <c r="AB536" s="9"/>
      <c r="AC536" s="9"/>
      <c r="AD536" s="9"/>
      <c r="AE536" s="9"/>
      <c r="AF536" s="9"/>
      <c r="AG536" s="9"/>
      <c r="AH536" s="9"/>
      <c r="AI536" s="9"/>
      <c r="AJ536" s="9"/>
      <c r="AK536" s="9"/>
      <c r="AL536" s="9"/>
      <c r="AM536" s="9"/>
      <c r="AN536" s="9"/>
      <c r="AO536" s="9"/>
      <c r="AP536" s="9"/>
      <c r="AQ536" s="9"/>
      <c r="AR536" s="9"/>
      <c r="AS536" s="9"/>
      <c r="AT536" s="9"/>
      <c r="AU536" s="9"/>
      <c r="AV536" s="9"/>
      <c r="AW536" s="9"/>
      <c r="AX536" s="9"/>
    </row>
    <row r="537" spans="1:50" ht="15.75" customHeight="1" x14ac:dyDescent="0.2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212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  <c r="AA537" s="212"/>
      <c r="AB537" s="9"/>
      <c r="AC537" s="9"/>
      <c r="AD537" s="9"/>
      <c r="AE537" s="9"/>
      <c r="AF537" s="9"/>
      <c r="AG537" s="9"/>
      <c r="AH537" s="9"/>
      <c r="AI537" s="9"/>
      <c r="AJ537" s="9"/>
      <c r="AK537" s="9"/>
      <c r="AL537" s="9"/>
      <c r="AM537" s="9"/>
      <c r="AN537" s="9"/>
      <c r="AO537" s="9"/>
      <c r="AP537" s="9"/>
      <c r="AQ537" s="9"/>
      <c r="AR537" s="9"/>
      <c r="AS537" s="9"/>
      <c r="AT537" s="9"/>
      <c r="AU537" s="9"/>
      <c r="AV537" s="9"/>
      <c r="AW537" s="9"/>
      <c r="AX537" s="9"/>
    </row>
    <row r="538" spans="1:50" ht="15.75" customHeight="1" x14ac:dyDescent="0.2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212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  <c r="AA538" s="212"/>
      <c r="AB538" s="9"/>
      <c r="AC538" s="9"/>
      <c r="AD538" s="9"/>
      <c r="AE538" s="9"/>
      <c r="AF538" s="9"/>
      <c r="AG538" s="9"/>
      <c r="AH538" s="9"/>
      <c r="AI538" s="9"/>
      <c r="AJ538" s="9"/>
      <c r="AK538" s="9"/>
      <c r="AL538" s="9"/>
      <c r="AM538" s="9"/>
      <c r="AN538" s="9"/>
      <c r="AO538" s="9"/>
      <c r="AP538" s="9"/>
      <c r="AQ538" s="9"/>
      <c r="AR538" s="9"/>
      <c r="AS538" s="9"/>
      <c r="AT538" s="9"/>
      <c r="AU538" s="9"/>
      <c r="AV538" s="9"/>
      <c r="AW538" s="9"/>
      <c r="AX538" s="9"/>
    </row>
    <row r="539" spans="1:50" ht="15.75" customHeight="1" x14ac:dyDescent="0.2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212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  <c r="AA539" s="212"/>
      <c r="AB539" s="9"/>
      <c r="AC539" s="9"/>
      <c r="AD539" s="9"/>
      <c r="AE539" s="9"/>
      <c r="AF539" s="9"/>
      <c r="AG539" s="9"/>
      <c r="AH539" s="9"/>
      <c r="AI539" s="9"/>
      <c r="AJ539" s="9"/>
      <c r="AK539" s="9"/>
      <c r="AL539" s="9"/>
      <c r="AM539" s="9"/>
      <c r="AN539" s="9"/>
      <c r="AO539" s="9"/>
      <c r="AP539" s="9"/>
      <c r="AQ539" s="9"/>
      <c r="AR539" s="9"/>
      <c r="AS539" s="9"/>
      <c r="AT539" s="9"/>
      <c r="AU539" s="9"/>
      <c r="AV539" s="9"/>
      <c r="AW539" s="9"/>
      <c r="AX539" s="9"/>
    </row>
    <row r="540" spans="1:50" ht="15.75" customHeight="1" x14ac:dyDescent="0.2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212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  <c r="AA540" s="212"/>
      <c r="AB540" s="9"/>
      <c r="AC540" s="9"/>
      <c r="AD540" s="9"/>
      <c r="AE540" s="9"/>
      <c r="AF540" s="9"/>
      <c r="AG540" s="9"/>
      <c r="AH540" s="9"/>
      <c r="AI540" s="9"/>
      <c r="AJ540" s="9"/>
      <c r="AK540" s="9"/>
      <c r="AL540" s="9"/>
      <c r="AM540" s="9"/>
      <c r="AN540" s="9"/>
      <c r="AO540" s="9"/>
      <c r="AP540" s="9"/>
      <c r="AQ540" s="9"/>
      <c r="AR540" s="9"/>
      <c r="AS540" s="9"/>
      <c r="AT540" s="9"/>
      <c r="AU540" s="9"/>
      <c r="AV540" s="9"/>
      <c r="AW540" s="9"/>
      <c r="AX540" s="9"/>
    </row>
    <row r="541" spans="1:50" ht="15.75" customHeight="1" x14ac:dyDescent="0.2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212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  <c r="AA541" s="212"/>
      <c r="AB541" s="9"/>
      <c r="AC541" s="9"/>
      <c r="AD541" s="9"/>
      <c r="AE541" s="9"/>
      <c r="AF541" s="9"/>
      <c r="AG541" s="9"/>
      <c r="AH541" s="9"/>
      <c r="AI541" s="9"/>
      <c r="AJ541" s="9"/>
      <c r="AK541" s="9"/>
      <c r="AL541" s="9"/>
      <c r="AM541" s="9"/>
      <c r="AN541" s="9"/>
      <c r="AO541" s="9"/>
      <c r="AP541" s="9"/>
      <c r="AQ541" s="9"/>
      <c r="AR541" s="9"/>
      <c r="AS541" s="9"/>
      <c r="AT541" s="9"/>
      <c r="AU541" s="9"/>
      <c r="AV541" s="9"/>
      <c r="AW541" s="9"/>
      <c r="AX541" s="9"/>
    </row>
    <row r="542" spans="1:50" ht="15.75" customHeight="1" x14ac:dyDescent="0.2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212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  <c r="AA542" s="212"/>
      <c r="AB542" s="9"/>
      <c r="AC542" s="9"/>
      <c r="AD542" s="9"/>
      <c r="AE542" s="9"/>
      <c r="AF542" s="9"/>
      <c r="AG542" s="9"/>
      <c r="AH542" s="9"/>
      <c r="AI542" s="9"/>
      <c r="AJ542" s="9"/>
      <c r="AK542" s="9"/>
      <c r="AL542" s="9"/>
      <c r="AM542" s="9"/>
      <c r="AN542" s="9"/>
      <c r="AO542" s="9"/>
      <c r="AP542" s="9"/>
      <c r="AQ542" s="9"/>
      <c r="AR542" s="9"/>
      <c r="AS542" s="9"/>
      <c r="AT542" s="9"/>
      <c r="AU542" s="9"/>
      <c r="AV542" s="9"/>
      <c r="AW542" s="9"/>
      <c r="AX542" s="9"/>
    </row>
    <row r="543" spans="1:50" ht="15.75" customHeight="1" x14ac:dyDescent="0.2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212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  <c r="AA543" s="212"/>
      <c r="AB543" s="9"/>
      <c r="AC543" s="9"/>
      <c r="AD543" s="9"/>
      <c r="AE543" s="9"/>
      <c r="AF543" s="9"/>
      <c r="AG543" s="9"/>
      <c r="AH543" s="9"/>
      <c r="AI543" s="9"/>
      <c r="AJ543" s="9"/>
      <c r="AK543" s="9"/>
      <c r="AL543" s="9"/>
      <c r="AM543" s="9"/>
      <c r="AN543" s="9"/>
      <c r="AO543" s="9"/>
      <c r="AP543" s="9"/>
      <c r="AQ543" s="9"/>
      <c r="AR543" s="9"/>
      <c r="AS543" s="9"/>
      <c r="AT543" s="9"/>
      <c r="AU543" s="9"/>
      <c r="AV543" s="9"/>
      <c r="AW543" s="9"/>
      <c r="AX543" s="9"/>
    </row>
    <row r="544" spans="1:50" ht="15.75" customHeight="1" x14ac:dyDescent="0.2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212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  <c r="AA544" s="212"/>
      <c r="AB544" s="9"/>
      <c r="AC544" s="9"/>
      <c r="AD544" s="9"/>
      <c r="AE544" s="9"/>
      <c r="AF544" s="9"/>
      <c r="AG544" s="9"/>
      <c r="AH544" s="9"/>
      <c r="AI544" s="9"/>
      <c r="AJ544" s="9"/>
      <c r="AK544" s="9"/>
      <c r="AL544" s="9"/>
      <c r="AM544" s="9"/>
      <c r="AN544" s="9"/>
      <c r="AO544" s="9"/>
      <c r="AP544" s="9"/>
      <c r="AQ544" s="9"/>
      <c r="AR544" s="9"/>
      <c r="AS544" s="9"/>
      <c r="AT544" s="9"/>
      <c r="AU544" s="9"/>
      <c r="AV544" s="9"/>
      <c r="AW544" s="9"/>
      <c r="AX544" s="9"/>
    </row>
    <row r="545" spans="1:50" ht="15.75" customHeight="1" x14ac:dyDescent="0.2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212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  <c r="AA545" s="212"/>
      <c r="AB545" s="9"/>
      <c r="AC545" s="9"/>
      <c r="AD545" s="9"/>
      <c r="AE545" s="9"/>
      <c r="AF545" s="9"/>
      <c r="AG545" s="9"/>
      <c r="AH545" s="9"/>
      <c r="AI545" s="9"/>
      <c r="AJ545" s="9"/>
      <c r="AK545" s="9"/>
      <c r="AL545" s="9"/>
      <c r="AM545" s="9"/>
      <c r="AN545" s="9"/>
      <c r="AO545" s="9"/>
      <c r="AP545" s="9"/>
      <c r="AQ545" s="9"/>
      <c r="AR545" s="9"/>
      <c r="AS545" s="9"/>
      <c r="AT545" s="9"/>
      <c r="AU545" s="9"/>
      <c r="AV545" s="9"/>
      <c r="AW545" s="9"/>
      <c r="AX545" s="9"/>
    </row>
    <row r="546" spans="1:50" ht="15.75" customHeight="1" x14ac:dyDescent="0.2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212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  <c r="AA546" s="212"/>
      <c r="AB546" s="9"/>
      <c r="AC546" s="9"/>
      <c r="AD546" s="9"/>
      <c r="AE546" s="9"/>
      <c r="AF546" s="9"/>
      <c r="AG546" s="9"/>
      <c r="AH546" s="9"/>
      <c r="AI546" s="9"/>
      <c r="AJ546" s="9"/>
      <c r="AK546" s="9"/>
      <c r="AL546" s="9"/>
      <c r="AM546" s="9"/>
      <c r="AN546" s="9"/>
      <c r="AO546" s="9"/>
      <c r="AP546" s="9"/>
      <c r="AQ546" s="9"/>
      <c r="AR546" s="9"/>
      <c r="AS546" s="9"/>
      <c r="AT546" s="9"/>
      <c r="AU546" s="9"/>
      <c r="AV546" s="9"/>
      <c r="AW546" s="9"/>
      <c r="AX546" s="9"/>
    </row>
    <row r="547" spans="1:50" ht="15.75" customHeight="1" x14ac:dyDescent="0.2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212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  <c r="AA547" s="212"/>
      <c r="AB547" s="9"/>
      <c r="AC547" s="9"/>
      <c r="AD547" s="9"/>
      <c r="AE547" s="9"/>
      <c r="AF547" s="9"/>
      <c r="AG547" s="9"/>
      <c r="AH547" s="9"/>
      <c r="AI547" s="9"/>
      <c r="AJ547" s="9"/>
      <c r="AK547" s="9"/>
      <c r="AL547" s="9"/>
      <c r="AM547" s="9"/>
      <c r="AN547" s="9"/>
      <c r="AO547" s="9"/>
      <c r="AP547" s="9"/>
      <c r="AQ547" s="9"/>
      <c r="AR547" s="9"/>
      <c r="AS547" s="9"/>
      <c r="AT547" s="9"/>
      <c r="AU547" s="9"/>
      <c r="AV547" s="9"/>
      <c r="AW547" s="9"/>
      <c r="AX547" s="9"/>
    </row>
    <row r="548" spans="1:50" ht="15.75" customHeight="1" x14ac:dyDescent="0.2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212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  <c r="AA548" s="212"/>
      <c r="AB548" s="9"/>
      <c r="AC548" s="9"/>
      <c r="AD548" s="9"/>
      <c r="AE548" s="9"/>
      <c r="AF548" s="9"/>
      <c r="AG548" s="9"/>
      <c r="AH548" s="9"/>
      <c r="AI548" s="9"/>
      <c r="AJ548" s="9"/>
      <c r="AK548" s="9"/>
      <c r="AL548" s="9"/>
      <c r="AM548" s="9"/>
      <c r="AN548" s="9"/>
      <c r="AO548" s="9"/>
      <c r="AP548" s="9"/>
      <c r="AQ548" s="9"/>
      <c r="AR548" s="9"/>
      <c r="AS548" s="9"/>
      <c r="AT548" s="9"/>
      <c r="AU548" s="9"/>
      <c r="AV548" s="9"/>
      <c r="AW548" s="9"/>
      <c r="AX548" s="9"/>
    </row>
    <row r="549" spans="1:50" ht="15.75" customHeight="1" x14ac:dyDescent="0.2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212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  <c r="AA549" s="212"/>
      <c r="AB549" s="9"/>
      <c r="AC549" s="9"/>
      <c r="AD549" s="9"/>
      <c r="AE549" s="9"/>
      <c r="AF549" s="9"/>
      <c r="AG549" s="9"/>
      <c r="AH549" s="9"/>
      <c r="AI549" s="9"/>
      <c r="AJ549" s="9"/>
      <c r="AK549" s="9"/>
      <c r="AL549" s="9"/>
      <c r="AM549" s="9"/>
      <c r="AN549" s="9"/>
      <c r="AO549" s="9"/>
      <c r="AP549" s="9"/>
      <c r="AQ549" s="9"/>
      <c r="AR549" s="9"/>
      <c r="AS549" s="9"/>
      <c r="AT549" s="9"/>
      <c r="AU549" s="9"/>
      <c r="AV549" s="9"/>
      <c r="AW549" s="9"/>
      <c r="AX549" s="9"/>
    </row>
    <row r="550" spans="1:50" ht="15.75" customHeight="1" x14ac:dyDescent="0.2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212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  <c r="AA550" s="212"/>
      <c r="AB550" s="9"/>
      <c r="AC550" s="9"/>
      <c r="AD550" s="9"/>
      <c r="AE550" s="9"/>
      <c r="AF550" s="9"/>
      <c r="AG550" s="9"/>
      <c r="AH550" s="9"/>
      <c r="AI550" s="9"/>
      <c r="AJ550" s="9"/>
      <c r="AK550" s="9"/>
      <c r="AL550" s="9"/>
      <c r="AM550" s="9"/>
      <c r="AN550" s="9"/>
      <c r="AO550" s="9"/>
      <c r="AP550" s="9"/>
      <c r="AQ550" s="9"/>
      <c r="AR550" s="9"/>
      <c r="AS550" s="9"/>
      <c r="AT550" s="9"/>
      <c r="AU550" s="9"/>
      <c r="AV550" s="9"/>
      <c r="AW550" s="9"/>
      <c r="AX550" s="9"/>
    </row>
    <row r="551" spans="1:50" ht="15.75" customHeight="1" x14ac:dyDescent="0.2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212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  <c r="AA551" s="212"/>
      <c r="AB551" s="9"/>
      <c r="AC551" s="9"/>
      <c r="AD551" s="9"/>
      <c r="AE551" s="9"/>
      <c r="AF551" s="9"/>
      <c r="AG551" s="9"/>
      <c r="AH551" s="9"/>
      <c r="AI551" s="9"/>
      <c r="AJ551" s="9"/>
      <c r="AK551" s="9"/>
      <c r="AL551" s="9"/>
      <c r="AM551" s="9"/>
      <c r="AN551" s="9"/>
      <c r="AO551" s="9"/>
      <c r="AP551" s="9"/>
      <c r="AQ551" s="9"/>
      <c r="AR551" s="9"/>
      <c r="AS551" s="9"/>
      <c r="AT551" s="9"/>
      <c r="AU551" s="9"/>
      <c r="AV551" s="9"/>
      <c r="AW551" s="9"/>
      <c r="AX551" s="9"/>
    </row>
    <row r="552" spans="1:50" ht="15.75" customHeight="1" x14ac:dyDescent="0.2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212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  <c r="AA552" s="212"/>
      <c r="AB552" s="9"/>
      <c r="AC552" s="9"/>
      <c r="AD552" s="9"/>
      <c r="AE552" s="9"/>
      <c r="AF552" s="9"/>
      <c r="AG552" s="9"/>
      <c r="AH552" s="9"/>
      <c r="AI552" s="9"/>
      <c r="AJ552" s="9"/>
      <c r="AK552" s="9"/>
      <c r="AL552" s="9"/>
      <c r="AM552" s="9"/>
      <c r="AN552" s="9"/>
      <c r="AO552" s="9"/>
      <c r="AP552" s="9"/>
      <c r="AQ552" s="9"/>
      <c r="AR552" s="9"/>
      <c r="AS552" s="9"/>
      <c r="AT552" s="9"/>
      <c r="AU552" s="9"/>
      <c r="AV552" s="9"/>
      <c r="AW552" s="9"/>
      <c r="AX552" s="9"/>
    </row>
    <row r="553" spans="1:50" ht="15.75" customHeight="1" x14ac:dyDescent="0.2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212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  <c r="AA553" s="212"/>
      <c r="AB553" s="9"/>
      <c r="AC553" s="9"/>
      <c r="AD553" s="9"/>
      <c r="AE553" s="9"/>
      <c r="AF553" s="9"/>
      <c r="AG553" s="9"/>
      <c r="AH553" s="9"/>
      <c r="AI553" s="9"/>
      <c r="AJ553" s="9"/>
      <c r="AK553" s="9"/>
      <c r="AL553" s="9"/>
      <c r="AM553" s="9"/>
      <c r="AN553" s="9"/>
      <c r="AO553" s="9"/>
      <c r="AP553" s="9"/>
      <c r="AQ553" s="9"/>
      <c r="AR553" s="9"/>
      <c r="AS553" s="9"/>
      <c r="AT553" s="9"/>
      <c r="AU553" s="9"/>
      <c r="AV553" s="9"/>
      <c r="AW553" s="9"/>
      <c r="AX553" s="9"/>
    </row>
    <row r="554" spans="1:50" ht="15.75" customHeight="1" x14ac:dyDescent="0.2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212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  <c r="AA554" s="212"/>
      <c r="AB554" s="9"/>
      <c r="AC554" s="9"/>
      <c r="AD554" s="9"/>
      <c r="AE554" s="9"/>
      <c r="AF554" s="9"/>
      <c r="AG554" s="9"/>
      <c r="AH554" s="9"/>
      <c r="AI554" s="9"/>
      <c r="AJ554" s="9"/>
      <c r="AK554" s="9"/>
      <c r="AL554" s="9"/>
      <c r="AM554" s="9"/>
      <c r="AN554" s="9"/>
      <c r="AO554" s="9"/>
      <c r="AP554" s="9"/>
      <c r="AQ554" s="9"/>
      <c r="AR554" s="9"/>
      <c r="AS554" s="9"/>
      <c r="AT554" s="9"/>
      <c r="AU554" s="9"/>
      <c r="AV554" s="9"/>
      <c r="AW554" s="9"/>
      <c r="AX554" s="9"/>
    </row>
    <row r="555" spans="1:50" ht="15.75" customHeight="1" x14ac:dyDescent="0.2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212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  <c r="AA555" s="212"/>
      <c r="AB555" s="9"/>
      <c r="AC555" s="9"/>
      <c r="AD555" s="9"/>
      <c r="AE555" s="9"/>
      <c r="AF555" s="9"/>
      <c r="AG555" s="9"/>
      <c r="AH555" s="9"/>
      <c r="AI555" s="9"/>
      <c r="AJ555" s="9"/>
      <c r="AK555" s="9"/>
      <c r="AL555" s="9"/>
      <c r="AM555" s="9"/>
      <c r="AN555" s="9"/>
      <c r="AO555" s="9"/>
      <c r="AP555" s="9"/>
      <c r="AQ555" s="9"/>
      <c r="AR555" s="9"/>
      <c r="AS555" s="9"/>
      <c r="AT555" s="9"/>
      <c r="AU555" s="9"/>
      <c r="AV555" s="9"/>
      <c r="AW555" s="9"/>
      <c r="AX555" s="9"/>
    </row>
    <row r="556" spans="1:50" ht="15.75" customHeight="1" x14ac:dyDescent="0.2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212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  <c r="AA556" s="212"/>
      <c r="AB556" s="9"/>
      <c r="AC556" s="9"/>
      <c r="AD556" s="9"/>
      <c r="AE556" s="9"/>
      <c r="AF556" s="9"/>
      <c r="AG556" s="9"/>
      <c r="AH556" s="9"/>
      <c r="AI556" s="9"/>
      <c r="AJ556" s="9"/>
      <c r="AK556" s="9"/>
      <c r="AL556" s="9"/>
      <c r="AM556" s="9"/>
      <c r="AN556" s="9"/>
      <c r="AO556" s="9"/>
      <c r="AP556" s="9"/>
      <c r="AQ556" s="9"/>
      <c r="AR556" s="9"/>
      <c r="AS556" s="9"/>
      <c r="AT556" s="9"/>
      <c r="AU556" s="9"/>
      <c r="AV556" s="9"/>
      <c r="AW556" s="9"/>
      <c r="AX556" s="9"/>
    </row>
    <row r="557" spans="1:50" ht="15.75" customHeight="1" x14ac:dyDescent="0.2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212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  <c r="AA557" s="212"/>
      <c r="AB557" s="9"/>
      <c r="AC557" s="9"/>
      <c r="AD557" s="9"/>
      <c r="AE557" s="9"/>
      <c r="AF557" s="9"/>
      <c r="AG557" s="9"/>
      <c r="AH557" s="9"/>
      <c r="AI557" s="9"/>
      <c r="AJ557" s="9"/>
      <c r="AK557" s="9"/>
      <c r="AL557" s="9"/>
      <c r="AM557" s="9"/>
      <c r="AN557" s="9"/>
      <c r="AO557" s="9"/>
      <c r="AP557" s="9"/>
      <c r="AQ557" s="9"/>
      <c r="AR557" s="9"/>
      <c r="AS557" s="9"/>
      <c r="AT557" s="9"/>
      <c r="AU557" s="9"/>
      <c r="AV557" s="9"/>
      <c r="AW557" s="9"/>
      <c r="AX557" s="9"/>
    </row>
    <row r="558" spans="1:50" ht="15.75" customHeight="1" x14ac:dyDescent="0.2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212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  <c r="AA558" s="212"/>
      <c r="AB558" s="9"/>
      <c r="AC558" s="9"/>
      <c r="AD558" s="9"/>
      <c r="AE558" s="9"/>
      <c r="AF558" s="9"/>
      <c r="AG558" s="9"/>
      <c r="AH558" s="9"/>
      <c r="AI558" s="9"/>
      <c r="AJ558" s="9"/>
      <c r="AK558" s="9"/>
      <c r="AL558" s="9"/>
      <c r="AM558" s="9"/>
      <c r="AN558" s="9"/>
      <c r="AO558" s="9"/>
      <c r="AP558" s="9"/>
      <c r="AQ558" s="9"/>
      <c r="AR558" s="9"/>
      <c r="AS558" s="9"/>
      <c r="AT558" s="9"/>
      <c r="AU558" s="9"/>
      <c r="AV558" s="9"/>
      <c r="AW558" s="9"/>
      <c r="AX558" s="9"/>
    </row>
    <row r="559" spans="1:50" ht="15.75" customHeight="1" x14ac:dyDescent="0.2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212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  <c r="AA559" s="212"/>
      <c r="AB559" s="9"/>
      <c r="AC559" s="9"/>
      <c r="AD559" s="9"/>
      <c r="AE559" s="9"/>
      <c r="AF559" s="9"/>
      <c r="AG559" s="9"/>
      <c r="AH559" s="9"/>
      <c r="AI559" s="9"/>
      <c r="AJ559" s="9"/>
      <c r="AK559" s="9"/>
      <c r="AL559" s="9"/>
      <c r="AM559" s="9"/>
      <c r="AN559" s="9"/>
      <c r="AO559" s="9"/>
      <c r="AP559" s="9"/>
      <c r="AQ559" s="9"/>
      <c r="AR559" s="9"/>
      <c r="AS559" s="9"/>
      <c r="AT559" s="9"/>
      <c r="AU559" s="9"/>
      <c r="AV559" s="9"/>
      <c r="AW559" s="9"/>
      <c r="AX559" s="9"/>
    </row>
    <row r="560" spans="1:50" ht="15.75" customHeight="1" x14ac:dyDescent="0.2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212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  <c r="AA560" s="212"/>
      <c r="AB560" s="9"/>
      <c r="AC560" s="9"/>
      <c r="AD560" s="9"/>
      <c r="AE560" s="9"/>
      <c r="AF560" s="9"/>
      <c r="AG560" s="9"/>
      <c r="AH560" s="9"/>
      <c r="AI560" s="9"/>
      <c r="AJ560" s="9"/>
      <c r="AK560" s="9"/>
      <c r="AL560" s="9"/>
      <c r="AM560" s="9"/>
      <c r="AN560" s="9"/>
      <c r="AO560" s="9"/>
      <c r="AP560" s="9"/>
      <c r="AQ560" s="9"/>
      <c r="AR560" s="9"/>
      <c r="AS560" s="9"/>
      <c r="AT560" s="9"/>
      <c r="AU560" s="9"/>
      <c r="AV560" s="9"/>
      <c r="AW560" s="9"/>
      <c r="AX560" s="9"/>
    </row>
    <row r="561" spans="1:50" ht="15.75" customHeight="1" x14ac:dyDescent="0.2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212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  <c r="AA561" s="212"/>
      <c r="AB561" s="9"/>
      <c r="AC561" s="9"/>
      <c r="AD561" s="9"/>
      <c r="AE561" s="9"/>
      <c r="AF561" s="9"/>
      <c r="AG561" s="9"/>
      <c r="AH561" s="9"/>
      <c r="AI561" s="9"/>
      <c r="AJ561" s="9"/>
      <c r="AK561" s="9"/>
      <c r="AL561" s="9"/>
      <c r="AM561" s="9"/>
      <c r="AN561" s="9"/>
      <c r="AO561" s="9"/>
      <c r="AP561" s="9"/>
      <c r="AQ561" s="9"/>
      <c r="AR561" s="9"/>
      <c r="AS561" s="9"/>
      <c r="AT561" s="9"/>
      <c r="AU561" s="9"/>
      <c r="AV561" s="9"/>
      <c r="AW561" s="9"/>
      <c r="AX561" s="9"/>
    </row>
    <row r="562" spans="1:50" ht="15.75" customHeight="1" x14ac:dyDescent="0.2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212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  <c r="AA562" s="212"/>
      <c r="AB562" s="9"/>
      <c r="AC562" s="9"/>
      <c r="AD562" s="9"/>
      <c r="AE562" s="9"/>
      <c r="AF562" s="9"/>
      <c r="AG562" s="9"/>
      <c r="AH562" s="9"/>
      <c r="AI562" s="9"/>
      <c r="AJ562" s="9"/>
      <c r="AK562" s="9"/>
      <c r="AL562" s="9"/>
      <c r="AM562" s="9"/>
      <c r="AN562" s="9"/>
      <c r="AO562" s="9"/>
      <c r="AP562" s="9"/>
      <c r="AQ562" s="9"/>
      <c r="AR562" s="9"/>
      <c r="AS562" s="9"/>
      <c r="AT562" s="9"/>
      <c r="AU562" s="9"/>
      <c r="AV562" s="9"/>
      <c r="AW562" s="9"/>
      <c r="AX562" s="9"/>
    </row>
    <row r="563" spans="1:50" ht="15.75" customHeight="1" x14ac:dyDescent="0.2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212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  <c r="AA563" s="212"/>
      <c r="AB563" s="9"/>
      <c r="AC563" s="9"/>
      <c r="AD563" s="9"/>
      <c r="AE563" s="9"/>
      <c r="AF563" s="9"/>
      <c r="AG563" s="9"/>
      <c r="AH563" s="9"/>
      <c r="AI563" s="9"/>
      <c r="AJ563" s="9"/>
      <c r="AK563" s="9"/>
      <c r="AL563" s="9"/>
      <c r="AM563" s="9"/>
      <c r="AN563" s="9"/>
      <c r="AO563" s="9"/>
      <c r="AP563" s="9"/>
      <c r="AQ563" s="9"/>
      <c r="AR563" s="9"/>
      <c r="AS563" s="9"/>
      <c r="AT563" s="9"/>
      <c r="AU563" s="9"/>
      <c r="AV563" s="9"/>
      <c r="AW563" s="9"/>
      <c r="AX563" s="9"/>
    </row>
    <row r="564" spans="1:50" ht="15.75" customHeight="1" x14ac:dyDescent="0.2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212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  <c r="AA564" s="212"/>
      <c r="AB564" s="9"/>
      <c r="AC564" s="9"/>
      <c r="AD564" s="9"/>
      <c r="AE564" s="9"/>
      <c r="AF564" s="9"/>
      <c r="AG564" s="9"/>
      <c r="AH564" s="9"/>
      <c r="AI564" s="9"/>
      <c r="AJ564" s="9"/>
      <c r="AK564" s="9"/>
      <c r="AL564" s="9"/>
      <c r="AM564" s="9"/>
      <c r="AN564" s="9"/>
      <c r="AO564" s="9"/>
      <c r="AP564" s="9"/>
      <c r="AQ564" s="9"/>
      <c r="AR564" s="9"/>
      <c r="AS564" s="9"/>
      <c r="AT564" s="9"/>
      <c r="AU564" s="9"/>
      <c r="AV564" s="9"/>
      <c r="AW564" s="9"/>
      <c r="AX564" s="9"/>
    </row>
    <row r="565" spans="1:50" ht="15.75" customHeight="1" x14ac:dyDescent="0.2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212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  <c r="AA565" s="212"/>
      <c r="AB565" s="9"/>
      <c r="AC565" s="9"/>
      <c r="AD565" s="9"/>
      <c r="AE565" s="9"/>
      <c r="AF565" s="9"/>
      <c r="AG565" s="9"/>
      <c r="AH565" s="9"/>
      <c r="AI565" s="9"/>
      <c r="AJ565" s="9"/>
      <c r="AK565" s="9"/>
      <c r="AL565" s="9"/>
      <c r="AM565" s="9"/>
      <c r="AN565" s="9"/>
      <c r="AO565" s="9"/>
      <c r="AP565" s="9"/>
      <c r="AQ565" s="9"/>
      <c r="AR565" s="9"/>
      <c r="AS565" s="9"/>
      <c r="AT565" s="9"/>
      <c r="AU565" s="9"/>
      <c r="AV565" s="9"/>
      <c r="AW565" s="9"/>
      <c r="AX565" s="9"/>
    </row>
    <row r="566" spans="1:50" ht="15.75" customHeight="1" x14ac:dyDescent="0.2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212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  <c r="AA566" s="212"/>
      <c r="AB566" s="9"/>
      <c r="AC566" s="9"/>
      <c r="AD566" s="9"/>
      <c r="AE566" s="9"/>
      <c r="AF566" s="9"/>
      <c r="AG566" s="9"/>
      <c r="AH566" s="9"/>
      <c r="AI566" s="9"/>
      <c r="AJ566" s="9"/>
      <c r="AK566" s="9"/>
      <c r="AL566" s="9"/>
      <c r="AM566" s="9"/>
      <c r="AN566" s="9"/>
      <c r="AO566" s="9"/>
      <c r="AP566" s="9"/>
      <c r="AQ566" s="9"/>
      <c r="AR566" s="9"/>
      <c r="AS566" s="9"/>
      <c r="AT566" s="9"/>
      <c r="AU566" s="9"/>
      <c r="AV566" s="9"/>
      <c r="AW566" s="9"/>
      <c r="AX566" s="9"/>
    </row>
    <row r="567" spans="1:50" ht="15.75" customHeight="1" x14ac:dyDescent="0.2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212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  <c r="AA567" s="212"/>
      <c r="AB567" s="9"/>
      <c r="AC567" s="9"/>
      <c r="AD567" s="9"/>
      <c r="AE567" s="9"/>
      <c r="AF567" s="9"/>
      <c r="AG567" s="9"/>
      <c r="AH567" s="9"/>
      <c r="AI567" s="9"/>
      <c r="AJ567" s="9"/>
      <c r="AK567" s="9"/>
      <c r="AL567" s="9"/>
      <c r="AM567" s="9"/>
      <c r="AN567" s="9"/>
      <c r="AO567" s="9"/>
      <c r="AP567" s="9"/>
      <c r="AQ567" s="9"/>
      <c r="AR567" s="9"/>
      <c r="AS567" s="9"/>
      <c r="AT567" s="9"/>
      <c r="AU567" s="9"/>
      <c r="AV567" s="9"/>
      <c r="AW567" s="9"/>
      <c r="AX567" s="9"/>
    </row>
    <row r="568" spans="1:50" ht="15.75" customHeight="1" x14ac:dyDescent="0.2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212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  <c r="AA568" s="212"/>
      <c r="AB568" s="9"/>
      <c r="AC568" s="9"/>
      <c r="AD568" s="9"/>
      <c r="AE568" s="9"/>
      <c r="AF568" s="9"/>
      <c r="AG568" s="9"/>
      <c r="AH568" s="9"/>
      <c r="AI568" s="9"/>
      <c r="AJ568" s="9"/>
      <c r="AK568" s="9"/>
      <c r="AL568" s="9"/>
      <c r="AM568" s="9"/>
      <c r="AN568" s="9"/>
      <c r="AO568" s="9"/>
      <c r="AP568" s="9"/>
      <c r="AQ568" s="9"/>
      <c r="AR568" s="9"/>
      <c r="AS568" s="9"/>
      <c r="AT568" s="9"/>
      <c r="AU568" s="9"/>
      <c r="AV568" s="9"/>
      <c r="AW568" s="9"/>
      <c r="AX568" s="9"/>
    </row>
    <row r="569" spans="1:50" ht="15.75" customHeight="1" x14ac:dyDescent="0.2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212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  <c r="AA569" s="212"/>
      <c r="AB569" s="9"/>
      <c r="AC569" s="9"/>
      <c r="AD569" s="9"/>
      <c r="AE569" s="9"/>
      <c r="AF569" s="9"/>
      <c r="AG569" s="9"/>
      <c r="AH569" s="9"/>
      <c r="AI569" s="9"/>
      <c r="AJ569" s="9"/>
      <c r="AK569" s="9"/>
      <c r="AL569" s="9"/>
      <c r="AM569" s="9"/>
      <c r="AN569" s="9"/>
      <c r="AO569" s="9"/>
      <c r="AP569" s="9"/>
      <c r="AQ569" s="9"/>
      <c r="AR569" s="9"/>
      <c r="AS569" s="9"/>
      <c r="AT569" s="9"/>
      <c r="AU569" s="9"/>
      <c r="AV569" s="9"/>
      <c r="AW569" s="9"/>
      <c r="AX569" s="9"/>
    </row>
    <row r="570" spans="1:50" ht="15.75" customHeight="1" x14ac:dyDescent="0.2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212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  <c r="AA570" s="212"/>
      <c r="AB570" s="9"/>
      <c r="AC570" s="9"/>
      <c r="AD570" s="9"/>
      <c r="AE570" s="9"/>
      <c r="AF570" s="9"/>
      <c r="AG570" s="9"/>
      <c r="AH570" s="9"/>
      <c r="AI570" s="9"/>
      <c r="AJ570" s="9"/>
      <c r="AK570" s="9"/>
      <c r="AL570" s="9"/>
      <c r="AM570" s="9"/>
      <c r="AN570" s="9"/>
      <c r="AO570" s="9"/>
      <c r="AP570" s="9"/>
      <c r="AQ570" s="9"/>
      <c r="AR570" s="9"/>
      <c r="AS570" s="9"/>
      <c r="AT570" s="9"/>
      <c r="AU570" s="9"/>
      <c r="AV570" s="9"/>
      <c r="AW570" s="9"/>
      <c r="AX570" s="9"/>
    </row>
    <row r="571" spans="1:50" ht="15.75" customHeight="1" x14ac:dyDescent="0.2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212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212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</row>
    <row r="572" spans="1:50" ht="15.75" customHeight="1" x14ac:dyDescent="0.2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212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  <c r="AA572" s="212"/>
      <c r="AB572" s="9"/>
      <c r="AC572" s="9"/>
      <c r="AD572" s="9"/>
      <c r="AE572" s="9"/>
      <c r="AF572" s="9"/>
      <c r="AG572" s="9"/>
      <c r="AH572" s="9"/>
      <c r="AI572" s="9"/>
      <c r="AJ572" s="9"/>
      <c r="AK572" s="9"/>
      <c r="AL572" s="9"/>
      <c r="AM572" s="9"/>
      <c r="AN572" s="9"/>
      <c r="AO572" s="9"/>
      <c r="AP572" s="9"/>
      <c r="AQ572" s="9"/>
      <c r="AR572" s="9"/>
      <c r="AS572" s="9"/>
      <c r="AT572" s="9"/>
      <c r="AU572" s="9"/>
      <c r="AV572" s="9"/>
      <c r="AW572" s="9"/>
      <c r="AX572" s="9"/>
    </row>
    <row r="573" spans="1:50" ht="15.75" customHeight="1" x14ac:dyDescent="0.2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212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  <c r="AA573" s="212"/>
      <c r="AB573" s="9"/>
      <c r="AC573" s="9"/>
      <c r="AD573" s="9"/>
      <c r="AE573" s="9"/>
      <c r="AF573" s="9"/>
      <c r="AG573" s="9"/>
      <c r="AH573" s="9"/>
      <c r="AI573" s="9"/>
      <c r="AJ573" s="9"/>
      <c r="AK573" s="9"/>
      <c r="AL573" s="9"/>
      <c r="AM573" s="9"/>
      <c r="AN573" s="9"/>
      <c r="AO573" s="9"/>
      <c r="AP573" s="9"/>
      <c r="AQ573" s="9"/>
      <c r="AR573" s="9"/>
      <c r="AS573" s="9"/>
      <c r="AT573" s="9"/>
      <c r="AU573" s="9"/>
      <c r="AV573" s="9"/>
      <c r="AW573" s="9"/>
      <c r="AX573" s="9"/>
    </row>
    <row r="574" spans="1:50" ht="15.75" customHeight="1" x14ac:dyDescent="0.2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212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  <c r="AA574" s="212"/>
      <c r="AB574" s="9"/>
      <c r="AC574" s="9"/>
      <c r="AD574" s="9"/>
      <c r="AE574" s="9"/>
      <c r="AF574" s="9"/>
      <c r="AG574" s="9"/>
      <c r="AH574" s="9"/>
      <c r="AI574" s="9"/>
      <c r="AJ574" s="9"/>
      <c r="AK574" s="9"/>
      <c r="AL574" s="9"/>
      <c r="AM574" s="9"/>
      <c r="AN574" s="9"/>
      <c r="AO574" s="9"/>
      <c r="AP574" s="9"/>
      <c r="AQ574" s="9"/>
      <c r="AR574" s="9"/>
      <c r="AS574" s="9"/>
      <c r="AT574" s="9"/>
      <c r="AU574" s="9"/>
      <c r="AV574" s="9"/>
      <c r="AW574" s="9"/>
      <c r="AX574" s="9"/>
    </row>
    <row r="575" spans="1:50" ht="15.75" customHeight="1" x14ac:dyDescent="0.2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212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  <c r="AA575" s="212"/>
      <c r="AB575" s="9"/>
      <c r="AC575" s="9"/>
      <c r="AD575" s="9"/>
      <c r="AE575" s="9"/>
      <c r="AF575" s="9"/>
      <c r="AG575" s="9"/>
      <c r="AH575" s="9"/>
      <c r="AI575" s="9"/>
      <c r="AJ575" s="9"/>
      <c r="AK575" s="9"/>
      <c r="AL575" s="9"/>
      <c r="AM575" s="9"/>
      <c r="AN575" s="9"/>
      <c r="AO575" s="9"/>
      <c r="AP575" s="9"/>
      <c r="AQ575" s="9"/>
      <c r="AR575" s="9"/>
      <c r="AS575" s="9"/>
      <c r="AT575" s="9"/>
      <c r="AU575" s="9"/>
      <c r="AV575" s="9"/>
      <c r="AW575" s="9"/>
      <c r="AX575" s="9"/>
    </row>
    <row r="576" spans="1:50" ht="15.75" customHeight="1" x14ac:dyDescent="0.2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212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  <c r="AA576" s="212"/>
      <c r="AB576" s="9"/>
      <c r="AC576" s="9"/>
      <c r="AD576" s="9"/>
      <c r="AE576" s="9"/>
      <c r="AF576" s="9"/>
      <c r="AG576" s="9"/>
      <c r="AH576" s="9"/>
      <c r="AI576" s="9"/>
      <c r="AJ576" s="9"/>
      <c r="AK576" s="9"/>
      <c r="AL576" s="9"/>
      <c r="AM576" s="9"/>
      <c r="AN576" s="9"/>
      <c r="AO576" s="9"/>
      <c r="AP576" s="9"/>
      <c r="AQ576" s="9"/>
      <c r="AR576" s="9"/>
      <c r="AS576" s="9"/>
      <c r="AT576" s="9"/>
      <c r="AU576" s="9"/>
      <c r="AV576" s="9"/>
      <c r="AW576" s="9"/>
      <c r="AX576" s="9"/>
    </row>
    <row r="577" spans="1:50" ht="15.75" customHeight="1" x14ac:dyDescent="0.2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212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  <c r="AA577" s="212"/>
      <c r="AB577" s="9"/>
      <c r="AC577" s="9"/>
      <c r="AD577" s="9"/>
      <c r="AE577" s="9"/>
      <c r="AF577" s="9"/>
      <c r="AG577" s="9"/>
      <c r="AH577" s="9"/>
      <c r="AI577" s="9"/>
      <c r="AJ577" s="9"/>
      <c r="AK577" s="9"/>
      <c r="AL577" s="9"/>
      <c r="AM577" s="9"/>
      <c r="AN577" s="9"/>
      <c r="AO577" s="9"/>
      <c r="AP577" s="9"/>
      <c r="AQ577" s="9"/>
      <c r="AR577" s="9"/>
      <c r="AS577" s="9"/>
      <c r="AT577" s="9"/>
      <c r="AU577" s="9"/>
      <c r="AV577" s="9"/>
      <c r="AW577" s="9"/>
      <c r="AX577" s="9"/>
    </row>
    <row r="578" spans="1:50" ht="15.75" customHeight="1" x14ac:dyDescent="0.2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212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  <c r="AA578" s="212"/>
      <c r="AB578" s="9"/>
      <c r="AC578" s="9"/>
      <c r="AD578" s="9"/>
      <c r="AE578" s="9"/>
      <c r="AF578" s="9"/>
      <c r="AG578" s="9"/>
      <c r="AH578" s="9"/>
      <c r="AI578" s="9"/>
      <c r="AJ578" s="9"/>
      <c r="AK578" s="9"/>
      <c r="AL578" s="9"/>
      <c r="AM578" s="9"/>
      <c r="AN578" s="9"/>
      <c r="AO578" s="9"/>
      <c r="AP578" s="9"/>
      <c r="AQ578" s="9"/>
      <c r="AR578" s="9"/>
      <c r="AS578" s="9"/>
      <c r="AT578" s="9"/>
      <c r="AU578" s="9"/>
      <c r="AV578" s="9"/>
      <c r="AW578" s="9"/>
      <c r="AX578" s="9"/>
    </row>
    <row r="579" spans="1:50" ht="15.75" customHeight="1" x14ac:dyDescent="0.2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212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  <c r="AA579" s="212"/>
      <c r="AB579" s="9"/>
      <c r="AC579" s="9"/>
      <c r="AD579" s="9"/>
      <c r="AE579" s="9"/>
      <c r="AF579" s="9"/>
      <c r="AG579" s="9"/>
      <c r="AH579" s="9"/>
      <c r="AI579" s="9"/>
      <c r="AJ579" s="9"/>
      <c r="AK579" s="9"/>
      <c r="AL579" s="9"/>
      <c r="AM579" s="9"/>
      <c r="AN579" s="9"/>
      <c r="AO579" s="9"/>
      <c r="AP579" s="9"/>
      <c r="AQ579" s="9"/>
      <c r="AR579" s="9"/>
      <c r="AS579" s="9"/>
      <c r="AT579" s="9"/>
      <c r="AU579" s="9"/>
      <c r="AV579" s="9"/>
      <c r="AW579" s="9"/>
      <c r="AX579" s="9"/>
    </row>
    <row r="580" spans="1:50" ht="15.75" customHeight="1" x14ac:dyDescent="0.2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212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  <c r="AA580" s="212"/>
      <c r="AB580" s="9"/>
      <c r="AC580" s="9"/>
      <c r="AD580" s="9"/>
      <c r="AE580" s="9"/>
      <c r="AF580" s="9"/>
      <c r="AG580" s="9"/>
      <c r="AH580" s="9"/>
      <c r="AI580" s="9"/>
      <c r="AJ580" s="9"/>
      <c r="AK580" s="9"/>
      <c r="AL580" s="9"/>
      <c r="AM580" s="9"/>
      <c r="AN580" s="9"/>
      <c r="AO580" s="9"/>
      <c r="AP580" s="9"/>
      <c r="AQ580" s="9"/>
      <c r="AR580" s="9"/>
      <c r="AS580" s="9"/>
      <c r="AT580" s="9"/>
      <c r="AU580" s="9"/>
      <c r="AV580" s="9"/>
      <c r="AW580" s="9"/>
      <c r="AX580" s="9"/>
    </row>
    <row r="581" spans="1:50" ht="15.75" customHeight="1" x14ac:dyDescent="0.2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212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  <c r="AA581" s="212"/>
      <c r="AB581" s="9"/>
      <c r="AC581" s="9"/>
      <c r="AD581" s="9"/>
      <c r="AE581" s="9"/>
      <c r="AF581" s="9"/>
      <c r="AG581" s="9"/>
      <c r="AH581" s="9"/>
      <c r="AI581" s="9"/>
      <c r="AJ581" s="9"/>
      <c r="AK581" s="9"/>
      <c r="AL581" s="9"/>
      <c r="AM581" s="9"/>
      <c r="AN581" s="9"/>
      <c r="AO581" s="9"/>
      <c r="AP581" s="9"/>
      <c r="AQ581" s="9"/>
      <c r="AR581" s="9"/>
      <c r="AS581" s="9"/>
      <c r="AT581" s="9"/>
      <c r="AU581" s="9"/>
      <c r="AV581" s="9"/>
      <c r="AW581" s="9"/>
      <c r="AX581" s="9"/>
    </row>
    <row r="582" spans="1:50" ht="15.75" customHeight="1" x14ac:dyDescent="0.2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212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  <c r="AA582" s="212"/>
      <c r="AB582" s="9"/>
      <c r="AC582" s="9"/>
      <c r="AD582" s="9"/>
      <c r="AE582" s="9"/>
      <c r="AF582" s="9"/>
      <c r="AG582" s="9"/>
      <c r="AH582" s="9"/>
      <c r="AI582" s="9"/>
      <c r="AJ582" s="9"/>
      <c r="AK582" s="9"/>
      <c r="AL582" s="9"/>
      <c r="AM582" s="9"/>
      <c r="AN582" s="9"/>
      <c r="AO582" s="9"/>
      <c r="AP582" s="9"/>
      <c r="AQ582" s="9"/>
      <c r="AR582" s="9"/>
      <c r="AS582" s="9"/>
      <c r="AT582" s="9"/>
      <c r="AU582" s="9"/>
      <c r="AV582" s="9"/>
      <c r="AW582" s="9"/>
      <c r="AX582" s="9"/>
    </row>
    <row r="583" spans="1:50" ht="15.75" customHeight="1" x14ac:dyDescent="0.2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212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  <c r="AA583" s="212"/>
      <c r="AB583" s="9"/>
      <c r="AC583" s="9"/>
      <c r="AD583" s="9"/>
      <c r="AE583" s="9"/>
      <c r="AF583" s="9"/>
      <c r="AG583" s="9"/>
      <c r="AH583" s="9"/>
      <c r="AI583" s="9"/>
      <c r="AJ583" s="9"/>
      <c r="AK583" s="9"/>
      <c r="AL583" s="9"/>
      <c r="AM583" s="9"/>
      <c r="AN583" s="9"/>
      <c r="AO583" s="9"/>
      <c r="AP583" s="9"/>
      <c r="AQ583" s="9"/>
      <c r="AR583" s="9"/>
      <c r="AS583" s="9"/>
      <c r="AT583" s="9"/>
      <c r="AU583" s="9"/>
      <c r="AV583" s="9"/>
      <c r="AW583" s="9"/>
      <c r="AX583" s="9"/>
    </row>
    <row r="584" spans="1:50" ht="15.75" customHeight="1" x14ac:dyDescent="0.2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212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  <c r="AA584" s="212"/>
      <c r="AB584" s="9"/>
      <c r="AC584" s="9"/>
      <c r="AD584" s="9"/>
      <c r="AE584" s="9"/>
      <c r="AF584" s="9"/>
      <c r="AG584" s="9"/>
      <c r="AH584" s="9"/>
      <c r="AI584" s="9"/>
      <c r="AJ584" s="9"/>
      <c r="AK584" s="9"/>
      <c r="AL584" s="9"/>
      <c r="AM584" s="9"/>
      <c r="AN584" s="9"/>
      <c r="AO584" s="9"/>
      <c r="AP584" s="9"/>
      <c r="AQ584" s="9"/>
      <c r="AR584" s="9"/>
      <c r="AS584" s="9"/>
      <c r="AT584" s="9"/>
      <c r="AU584" s="9"/>
      <c r="AV584" s="9"/>
      <c r="AW584" s="9"/>
      <c r="AX584" s="9"/>
    </row>
    <row r="585" spans="1:50" ht="15.75" customHeight="1" x14ac:dyDescent="0.2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212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  <c r="AA585" s="212"/>
      <c r="AB585" s="9"/>
      <c r="AC585" s="9"/>
      <c r="AD585" s="9"/>
      <c r="AE585" s="9"/>
      <c r="AF585" s="9"/>
      <c r="AG585" s="9"/>
      <c r="AH585" s="9"/>
      <c r="AI585" s="9"/>
      <c r="AJ585" s="9"/>
      <c r="AK585" s="9"/>
      <c r="AL585" s="9"/>
      <c r="AM585" s="9"/>
      <c r="AN585" s="9"/>
      <c r="AO585" s="9"/>
      <c r="AP585" s="9"/>
      <c r="AQ585" s="9"/>
      <c r="AR585" s="9"/>
      <c r="AS585" s="9"/>
      <c r="AT585" s="9"/>
      <c r="AU585" s="9"/>
      <c r="AV585" s="9"/>
      <c r="AW585" s="9"/>
      <c r="AX585" s="9"/>
    </row>
    <row r="586" spans="1:50" ht="15.75" customHeight="1" x14ac:dyDescent="0.2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212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  <c r="AA586" s="212"/>
      <c r="AB586" s="9"/>
      <c r="AC586" s="9"/>
      <c r="AD586" s="9"/>
      <c r="AE586" s="9"/>
      <c r="AF586" s="9"/>
      <c r="AG586" s="9"/>
      <c r="AH586" s="9"/>
      <c r="AI586" s="9"/>
      <c r="AJ586" s="9"/>
      <c r="AK586" s="9"/>
      <c r="AL586" s="9"/>
      <c r="AM586" s="9"/>
      <c r="AN586" s="9"/>
      <c r="AO586" s="9"/>
      <c r="AP586" s="9"/>
      <c r="AQ586" s="9"/>
      <c r="AR586" s="9"/>
      <c r="AS586" s="9"/>
      <c r="AT586" s="9"/>
      <c r="AU586" s="9"/>
      <c r="AV586" s="9"/>
      <c r="AW586" s="9"/>
      <c r="AX586" s="9"/>
    </row>
    <row r="587" spans="1:50" ht="15.75" customHeight="1" x14ac:dyDescent="0.2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212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  <c r="AA587" s="212"/>
      <c r="AB587" s="9"/>
      <c r="AC587" s="9"/>
      <c r="AD587" s="9"/>
      <c r="AE587" s="9"/>
      <c r="AF587" s="9"/>
      <c r="AG587" s="9"/>
      <c r="AH587" s="9"/>
      <c r="AI587" s="9"/>
      <c r="AJ587" s="9"/>
      <c r="AK587" s="9"/>
      <c r="AL587" s="9"/>
      <c r="AM587" s="9"/>
      <c r="AN587" s="9"/>
      <c r="AO587" s="9"/>
      <c r="AP587" s="9"/>
      <c r="AQ587" s="9"/>
      <c r="AR587" s="9"/>
      <c r="AS587" s="9"/>
      <c r="AT587" s="9"/>
      <c r="AU587" s="9"/>
      <c r="AV587" s="9"/>
      <c r="AW587" s="9"/>
      <c r="AX587" s="9"/>
    </row>
    <row r="588" spans="1:50" ht="15.75" customHeight="1" x14ac:dyDescent="0.2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212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  <c r="AA588" s="212"/>
      <c r="AB588" s="9"/>
      <c r="AC588" s="9"/>
      <c r="AD588" s="9"/>
      <c r="AE588" s="9"/>
      <c r="AF588" s="9"/>
      <c r="AG588" s="9"/>
      <c r="AH588" s="9"/>
      <c r="AI588" s="9"/>
      <c r="AJ588" s="9"/>
      <c r="AK588" s="9"/>
      <c r="AL588" s="9"/>
      <c r="AM588" s="9"/>
      <c r="AN588" s="9"/>
      <c r="AO588" s="9"/>
      <c r="AP588" s="9"/>
      <c r="AQ588" s="9"/>
      <c r="AR588" s="9"/>
      <c r="AS588" s="9"/>
      <c r="AT588" s="9"/>
      <c r="AU588" s="9"/>
      <c r="AV588" s="9"/>
      <c r="AW588" s="9"/>
      <c r="AX588" s="9"/>
    </row>
    <row r="589" spans="1:50" ht="15.75" customHeight="1" x14ac:dyDescent="0.2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212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  <c r="AA589" s="212"/>
      <c r="AB589" s="9"/>
      <c r="AC589" s="9"/>
      <c r="AD589" s="9"/>
      <c r="AE589" s="9"/>
      <c r="AF589" s="9"/>
      <c r="AG589" s="9"/>
      <c r="AH589" s="9"/>
      <c r="AI589" s="9"/>
      <c r="AJ589" s="9"/>
      <c r="AK589" s="9"/>
      <c r="AL589" s="9"/>
      <c r="AM589" s="9"/>
      <c r="AN589" s="9"/>
      <c r="AO589" s="9"/>
      <c r="AP589" s="9"/>
      <c r="AQ589" s="9"/>
      <c r="AR589" s="9"/>
      <c r="AS589" s="9"/>
      <c r="AT589" s="9"/>
      <c r="AU589" s="9"/>
      <c r="AV589" s="9"/>
      <c r="AW589" s="9"/>
      <c r="AX589" s="9"/>
    </row>
    <row r="590" spans="1:50" ht="15.75" customHeight="1" x14ac:dyDescent="0.2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212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  <c r="AA590" s="212"/>
      <c r="AB590" s="9"/>
      <c r="AC590" s="9"/>
      <c r="AD590" s="9"/>
      <c r="AE590" s="9"/>
      <c r="AF590" s="9"/>
      <c r="AG590" s="9"/>
      <c r="AH590" s="9"/>
      <c r="AI590" s="9"/>
      <c r="AJ590" s="9"/>
      <c r="AK590" s="9"/>
      <c r="AL590" s="9"/>
      <c r="AM590" s="9"/>
      <c r="AN590" s="9"/>
      <c r="AO590" s="9"/>
      <c r="AP590" s="9"/>
      <c r="AQ590" s="9"/>
      <c r="AR590" s="9"/>
      <c r="AS590" s="9"/>
      <c r="AT590" s="9"/>
      <c r="AU590" s="9"/>
      <c r="AV590" s="9"/>
      <c r="AW590" s="9"/>
      <c r="AX590" s="9"/>
    </row>
    <row r="591" spans="1:50" ht="15.75" customHeight="1" x14ac:dyDescent="0.2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212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  <c r="AA591" s="212"/>
      <c r="AB591" s="9"/>
      <c r="AC591" s="9"/>
      <c r="AD591" s="9"/>
      <c r="AE591" s="9"/>
      <c r="AF591" s="9"/>
      <c r="AG591" s="9"/>
      <c r="AH591" s="9"/>
      <c r="AI591" s="9"/>
      <c r="AJ591" s="9"/>
      <c r="AK591" s="9"/>
      <c r="AL591" s="9"/>
      <c r="AM591" s="9"/>
      <c r="AN591" s="9"/>
      <c r="AO591" s="9"/>
      <c r="AP591" s="9"/>
      <c r="AQ591" s="9"/>
      <c r="AR591" s="9"/>
      <c r="AS591" s="9"/>
      <c r="AT591" s="9"/>
      <c r="AU591" s="9"/>
      <c r="AV591" s="9"/>
      <c r="AW591" s="9"/>
      <c r="AX591" s="9"/>
    </row>
    <row r="592" spans="1:50" ht="15.75" customHeight="1" x14ac:dyDescent="0.2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212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  <c r="AA592" s="212"/>
      <c r="AB592" s="9"/>
      <c r="AC592" s="9"/>
      <c r="AD592" s="9"/>
      <c r="AE592" s="9"/>
      <c r="AF592" s="9"/>
      <c r="AG592" s="9"/>
      <c r="AH592" s="9"/>
      <c r="AI592" s="9"/>
      <c r="AJ592" s="9"/>
      <c r="AK592" s="9"/>
      <c r="AL592" s="9"/>
      <c r="AM592" s="9"/>
      <c r="AN592" s="9"/>
      <c r="AO592" s="9"/>
      <c r="AP592" s="9"/>
      <c r="AQ592" s="9"/>
      <c r="AR592" s="9"/>
      <c r="AS592" s="9"/>
      <c r="AT592" s="9"/>
      <c r="AU592" s="9"/>
      <c r="AV592" s="9"/>
      <c r="AW592" s="9"/>
      <c r="AX592" s="9"/>
    </row>
    <row r="593" spans="1:50" ht="15.75" customHeight="1" x14ac:dyDescent="0.2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212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  <c r="AA593" s="212"/>
      <c r="AB593" s="9"/>
      <c r="AC593" s="9"/>
      <c r="AD593" s="9"/>
      <c r="AE593" s="9"/>
      <c r="AF593" s="9"/>
      <c r="AG593" s="9"/>
      <c r="AH593" s="9"/>
      <c r="AI593" s="9"/>
      <c r="AJ593" s="9"/>
      <c r="AK593" s="9"/>
      <c r="AL593" s="9"/>
      <c r="AM593" s="9"/>
      <c r="AN593" s="9"/>
      <c r="AO593" s="9"/>
      <c r="AP593" s="9"/>
      <c r="AQ593" s="9"/>
      <c r="AR593" s="9"/>
      <c r="AS593" s="9"/>
      <c r="AT593" s="9"/>
      <c r="AU593" s="9"/>
      <c r="AV593" s="9"/>
      <c r="AW593" s="9"/>
      <c r="AX593" s="9"/>
    </row>
    <row r="594" spans="1:50" ht="15.75" customHeight="1" x14ac:dyDescent="0.2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212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  <c r="AA594" s="212"/>
      <c r="AB594" s="9"/>
      <c r="AC594" s="9"/>
      <c r="AD594" s="9"/>
      <c r="AE594" s="9"/>
      <c r="AF594" s="9"/>
      <c r="AG594" s="9"/>
      <c r="AH594" s="9"/>
      <c r="AI594" s="9"/>
      <c r="AJ594" s="9"/>
      <c r="AK594" s="9"/>
      <c r="AL594" s="9"/>
      <c r="AM594" s="9"/>
      <c r="AN594" s="9"/>
      <c r="AO594" s="9"/>
      <c r="AP594" s="9"/>
      <c r="AQ594" s="9"/>
      <c r="AR594" s="9"/>
      <c r="AS594" s="9"/>
      <c r="AT594" s="9"/>
      <c r="AU594" s="9"/>
      <c r="AV594" s="9"/>
      <c r="AW594" s="9"/>
      <c r="AX594" s="9"/>
    </row>
    <row r="595" spans="1:50" ht="15.75" customHeight="1" x14ac:dyDescent="0.2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212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  <c r="AA595" s="212"/>
      <c r="AB595" s="9"/>
      <c r="AC595" s="9"/>
      <c r="AD595" s="9"/>
      <c r="AE595" s="9"/>
      <c r="AF595" s="9"/>
      <c r="AG595" s="9"/>
      <c r="AH595" s="9"/>
      <c r="AI595" s="9"/>
      <c r="AJ595" s="9"/>
      <c r="AK595" s="9"/>
      <c r="AL595" s="9"/>
      <c r="AM595" s="9"/>
      <c r="AN595" s="9"/>
      <c r="AO595" s="9"/>
      <c r="AP595" s="9"/>
      <c r="AQ595" s="9"/>
      <c r="AR595" s="9"/>
      <c r="AS595" s="9"/>
      <c r="AT595" s="9"/>
      <c r="AU595" s="9"/>
      <c r="AV595" s="9"/>
      <c r="AW595" s="9"/>
      <c r="AX595" s="9"/>
    </row>
    <row r="596" spans="1:50" ht="15.75" customHeight="1" x14ac:dyDescent="0.2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212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  <c r="AA596" s="212"/>
      <c r="AB596" s="9"/>
      <c r="AC596" s="9"/>
      <c r="AD596" s="9"/>
      <c r="AE596" s="9"/>
      <c r="AF596" s="9"/>
      <c r="AG596" s="9"/>
      <c r="AH596" s="9"/>
      <c r="AI596" s="9"/>
      <c r="AJ596" s="9"/>
      <c r="AK596" s="9"/>
      <c r="AL596" s="9"/>
      <c r="AM596" s="9"/>
      <c r="AN596" s="9"/>
      <c r="AO596" s="9"/>
      <c r="AP596" s="9"/>
      <c r="AQ596" s="9"/>
      <c r="AR596" s="9"/>
      <c r="AS596" s="9"/>
      <c r="AT596" s="9"/>
      <c r="AU596" s="9"/>
      <c r="AV596" s="9"/>
      <c r="AW596" s="9"/>
      <c r="AX596" s="9"/>
    </row>
    <row r="597" spans="1:50" ht="15.75" customHeight="1" x14ac:dyDescent="0.2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212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  <c r="AA597" s="212"/>
      <c r="AB597" s="9"/>
      <c r="AC597" s="9"/>
      <c r="AD597" s="9"/>
      <c r="AE597" s="9"/>
      <c r="AF597" s="9"/>
      <c r="AG597" s="9"/>
      <c r="AH597" s="9"/>
      <c r="AI597" s="9"/>
      <c r="AJ597" s="9"/>
      <c r="AK597" s="9"/>
      <c r="AL597" s="9"/>
      <c r="AM597" s="9"/>
      <c r="AN597" s="9"/>
      <c r="AO597" s="9"/>
      <c r="AP597" s="9"/>
      <c r="AQ597" s="9"/>
      <c r="AR597" s="9"/>
      <c r="AS597" s="9"/>
      <c r="AT597" s="9"/>
      <c r="AU597" s="9"/>
      <c r="AV597" s="9"/>
      <c r="AW597" s="9"/>
      <c r="AX597" s="9"/>
    </row>
    <row r="598" spans="1:50" ht="15.75" customHeight="1" x14ac:dyDescent="0.2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212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  <c r="AA598" s="212"/>
      <c r="AB598" s="9"/>
      <c r="AC598" s="9"/>
      <c r="AD598" s="9"/>
      <c r="AE598" s="9"/>
      <c r="AF598" s="9"/>
      <c r="AG598" s="9"/>
      <c r="AH598" s="9"/>
      <c r="AI598" s="9"/>
      <c r="AJ598" s="9"/>
      <c r="AK598" s="9"/>
      <c r="AL598" s="9"/>
      <c r="AM598" s="9"/>
      <c r="AN598" s="9"/>
      <c r="AO598" s="9"/>
      <c r="AP598" s="9"/>
      <c r="AQ598" s="9"/>
      <c r="AR598" s="9"/>
      <c r="AS598" s="9"/>
      <c r="AT598" s="9"/>
      <c r="AU598" s="9"/>
      <c r="AV598" s="9"/>
      <c r="AW598" s="9"/>
      <c r="AX598" s="9"/>
    </row>
    <row r="599" spans="1:50" ht="15.75" customHeight="1" x14ac:dyDescent="0.2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212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  <c r="AA599" s="212"/>
      <c r="AB599" s="9"/>
      <c r="AC599" s="9"/>
      <c r="AD599" s="9"/>
      <c r="AE599" s="9"/>
      <c r="AF599" s="9"/>
      <c r="AG599" s="9"/>
      <c r="AH599" s="9"/>
      <c r="AI599" s="9"/>
      <c r="AJ599" s="9"/>
      <c r="AK599" s="9"/>
      <c r="AL599" s="9"/>
      <c r="AM599" s="9"/>
      <c r="AN599" s="9"/>
      <c r="AO599" s="9"/>
      <c r="AP599" s="9"/>
      <c r="AQ599" s="9"/>
      <c r="AR599" s="9"/>
      <c r="AS599" s="9"/>
      <c r="AT599" s="9"/>
      <c r="AU599" s="9"/>
      <c r="AV599" s="9"/>
      <c r="AW599" s="9"/>
      <c r="AX599" s="9"/>
    </row>
    <row r="600" spans="1:50" ht="15.75" customHeight="1" x14ac:dyDescent="0.2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212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  <c r="AA600" s="212"/>
      <c r="AB600" s="9"/>
      <c r="AC600" s="9"/>
      <c r="AD600" s="9"/>
      <c r="AE600" s="9"/>
      <c r="AF600" s="9"/>
      <c r="AG600" s="9"/>
      <c r="AH600" s="9"/>
      <c r="AI600" s="9"/>
      <c r="AJ600" s="9"/>
      <c r="AK600" s="9"/>
      <c r="AL600" s="9"/>
      <c r="AM600" s="9"/>
      <c r="AN600" s="9"/>
      <c r="AO600" s="9"/>
      <c r="AP600" s="9"/>
      <c r="AQ600" s="9"/>
      <c r="AR600" s="9"/>
      <c r="AS600" s="9"/>
      <c r="AT600" s="9"/>
      <c r="AU600" s="9"/>
      <c r="AV600" s="9"/>
      <c r="AW600" s="9"/>
      <c r="AX600" s="9"/>
    </row>
    <row r="601" spans="1:50" ht="15.75" customHeight="1" x14ac:dyDescent="0.2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212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  <c r="AA601" s="212"/>
      <c r="AB601" s="9"/>
      <c r="AC601" s="9"/>
      <c r="AD601" s="9"/>
      <c r="AE601" s="9"/>
      <c r="AF601" s="9"/>
      <c r="AG601" s="9"/>
      <c r="AH601" s="9"/>
      <c r="AI601" s="9"/>
      <c r="AJ601" s="9"/>
      <c r="AK601" s="9"/>
      <c r="AL601" s="9"/>
      <c r="AM601" s="9"/>
      <c r="AN601" s="9"/>
      <c r="AO601" s="9"/>
      <c r="AP601" s="9"/>
      <c r="AQ601" s="9"/>
      <c r="AR601" s="9"/>
      <c r="AS601" s="9"/>
      <c r="AT601" s="9"/>
      <c r="AU601" s="9"/>
      <c r="AV601" s="9"/>
      <c r="AW601" s="9"/>
      <c r="AX601" s="9"/>
    </row>
    <row r="602" spans="1:50" ht="15.75" customHeight="1" x14ac:dyDescent="0.2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212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  <c r="AA602" s="212"/>
      <c r="AB602" s="9"/>
      <c r="AC602" s="9"/>
      <c r="AD602" s="9"/>
      <c r="AE602" s="9"/>
      <c r="AF602" s="9"/>
      <c r="AG602" s="9"/>
      <c r="AH602" s="9"/>
      <c r="AI602" s="9"/>
      <c r="AJ602" s="9"/>
      <c r="AK602" s="9"/>
      <c r="AL602" s="9"/>
      <c r="AM602" s="9"/>
      <c r="AN602" s="9"/>
      <c r="AO602" s="9"/>
      <c r="AP602" s="9"/>
      <c r="AQ602" s="9"/>
      <c r="AR602" s="9"/>
      <c r="AS602" s="9"/>
      <c r="AT602" s="9"/>
      <c r="AU602" s="9"/>
      <c r="AV602" s="9"/>
      <c r="AW602" s="9"/>
      <c r="AX602" s="9"/>
    </row>
    <row r="603" spans="1:50" ht="15.75" customHeight="1" x14ac:dyDescent="0.2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212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  <c r="AA603" s="212"/>
      <c r="AB603" s="9"/>
      <c r="AC603" s="9"/>
      <c r="AD603" s="9"/>
      <c r="AE603" s="9"/>
      <c r="AF603" s="9"/>
      <c r="AG603" s="9"/>
      <c r="AH603" s="9"/>
      <c r="AI603" s="9"/>
      <c r="AJ603" s="9"/>
      <c r="AK603" s="9"/>
      <c r="AL603" s="9"/>
      <c r="AM603" s="9"/>
      <c r="AN603" s="9"/>
      <c r="AO603" s="9"/>
      <c r="AP603" s="9"/>
      <c r="AQ603" s="9"/>
      <c r="AR603" s="9"/>
      <c r="AS603" s="9"/>
      <c r="AT603" s="9"/>
      <c r="AU603" s="9"/>
      <c r="AV603" s="9"/>
      <c r="AW603" s="9"/>
      <c r="AX603" s="9"/>
    </row>
    <row r="604" spans="1:50" ht="15.75" customHeight="1" x14ac:dyDescent="0.2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212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  <c r="AA604" s="212"/>
      <c r="AB604" s="9"/>
      <c r="AC604" s="9"/>
      <c r="AD604" s="9"/>
      <c r="AE604" s="9"/>
      <c r="AF604" s="9"/>
      <c r="AG604" s="9"/>
      <c r="AH604" s="9"/>
      <c r="AI604" s="9"/>
      <c r="AJ604" s="9"/>
      <c r="AK604" s="9"/>
      <c r="AL604" s="9"/>
      <c r="AM604" s="9"/>
      <c r="AN604" s="9"/>
      <c r="AO604" s="9"/>
      <c r="AP604" s="9"/>
      <c r="AQ604" s="9"/>
      <c r="AR604" s="9"/>
      <c r="AS604" s="9"/>
      <c r="AT604" s="9"/>
      <c r="AU604" s="9"/>
      <c r="AV604" s="9"/>
      <c r="AW604" s="9"/>
      <c r="AX604" s="9"/>
    </row>
    <row r="605" spans="1:50" ht="15.75" customHeight="1" x14ac:dyDescent="0.2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212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  <c r="AA605" s="212"/>
      <c r="AB605" s="9"/>
      <c r="AC605" s="9"/>
      <c r="AD605" s="9"/>
      <c r="AE605" s="9"/>
      <c r="AF605" s="9"/>
      <c r="AG605" s="9"/>
      <c r="AH605" s="9"/>
      <c r="AI605" s="9"/>
      <c r="AJ605" s="9"/>
      <c r="AK605" s="9"/>
      <c r="AL605" s="9"/>
      <c r="AM605" s="9"/>
      <c r="AN605" s="9"/>
      <c r="AO605" s="9"/>
      <c r="AP605" s="9"/>
      <c r="AQ605" s="9"/>
      <c r="AR605" s="9"/>
      <c r="AS605" s="9"/>
      <c r="AT605" s="9"/>
      <c r="AU605" s="9"/>
      <c r="AV605" s="9"/>
      <c r="AW605" s="9"/>
      <c r="AX605" s="9"/>
    </row>
    <row r="606" spans="1:50" ht="15.75" customHeight="1" x14ac:dyDescent="0.2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212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  <c r="AA606" s="212"/>
      <c r="AB606" s="9"/>
      <c r="AC606" s="9"/>
      <c r="AD606" s="9"/>
      <c r="AE606" s="9"/>
      <c r="AF606" s="9"/>
      <c r="AG606" s="9"/>
      <c r="AH606" s="9"/>
      <c r="AI606" s="9"/>
      <c r="AJ606" s="9"/>
      <c r="AK606" s="9"/>
      <c r="AL606" s="9"/>
      <c r="AM606" s="9"/>
      <c r="AN606" s="9"/>
      <c r="AO606" s="9"/>
      <c r="AP606" s="9"/>
      <c r="AQ606" s="9"/>
      <c r="AR606" s="9"/>
      <c r="AS606" s="9"/>
      <c r="AT606" s="9"/>
      <c r="AU606" s="9"/>
      <c r="AV606" s="9"/>
      <c r="AW606" s="9"/>
      <c r="AX606" s="9"/>
    </row>
    <row r="607" spans="1:50" ht="15.75" customHeight="1" x14ac:dyDescent="0.2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212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  <c r="AA607" s="212"/>
      <c r="AB607" s="9"/>
      <c r="AC607" s="9"/>
      <c r="AD607" s="9"/>
      <c r="AE607" s="9"/>
      <c r="AF607" s="9"/>
      <c r="AG607" s="9"/>
      <c r="AH607" s="9"/>
      <c r="AI607" s="9"/>
      <c r="AJ607" s="9"/>
      <c r="AK607" s="9"/>
      <c r="AL607" s="9"/>
      <c r="AM607" s="9"/>
      <c r="AN607" s="9"/>
      <c r="AO607" s="9"/>
      <c r="AP607" s="9"/>
      <c r="AQ607" s="9"/>
      <c r="AR607" s="9"/>
      <c r="AS607" s="9"/>
      <c r="AT607" s="9"/>
      <c r="AU607" s="9"/>
      <c r="AV607" s="9"/>
      <c r="AW607" s="9"/>
      <c r="AX607" s="9"/>
    </row>
    <row r="608" spans="1:50" ht="15.75" customHeight="1" x14ac:dyDescent="0.2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212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  <c r="AA608" s="212"/>
      <c r="AB608" s="9"/>
      <c r="AC608" s="9"/>
      <c r="AD608" s="9"/>
      <c r="AE608" s="9"/>
      <c r="AF608" s="9"/>
      <c r="AG608" s="9"/>
      <c r="AH608" s="9"/>
      <c r="AI608" s="9"/>
      <c r="AJ608" s="9"/>
      <c r="AK608" s="9"/>
      <c r="AL608" s="9"/>
      <c r="AM608" s="9"/>
      <c r="AN608" s="9"/>
      <c r="AO608" s="9"/>
      <c r="AP608" s="9"/>
      <c r="AQ608" s="9"/>
      <c r="AR608" s="9"/>
      <c r="AS608" s="9"/>
      <c r="AT608" s="9"/>
      <c r="AU608" s="9"/>
      <c r="AV608" s="9"/>
      <c r="AW608" s="9"/>
      <c r="AX608" s="9"/>
    </row>
    <row r="609" spans="1:50" ht="15.75" customHeight="1" x14ac:dyDescent="0.2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212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  <c r="AA609" s="212"/>
      <c r="AB609" s="9"/>
      <c r="AC609" s="9"/>
      <c r="AD609" s="9"/>
      <c r="AE609" s="9"/>
      <c r="AF609" s="9"/>
      <c r="AG609" s="9"/>
      <c r="AH609" s="9"/>
      <c r="AI609" s="9"/>
      <c r="AJ609" s="9"/>
      <c r="AK609" s="9"/>
      <c r="AL609" s="9"/>
      <c r="AM609" s="9"/>
      <c r="AN609" s="9"/>
      <c r="AO609" s="9"/>
      <c r="AP609" s="9"/>
      <c r="AQ609" s="9"/>
      <c r="AR609" s="9"/>
      <c r="AS609" s="9"/>
      <c r="AT609" s="9"/>
      <c r="AU609" s="9"/>
      <c r="AV609" s="9"/>
      <c r="AW609" s="9"/>
      <c r="AX609" s="9"/>
    </row>
    <row r="610" spans="1:50" ht="15.75" customHeight="1" x14ac:dyDescent="0.2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212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  <c r="AA610" s="212"/>
      <c r="AB610" s="9"/>
      <c r="AC610" s="9"/>
      <c r="AD610" s="9"/>
      <c r="AE610" s="9"/>
      <c r="AF610" s="9"/>
      <c r="AG610" s="9"/>
      <c r="AH610" s="9"/>
      <c r="AI610" s="9"/>
      <c r="AJ610" s="9"/>
      <c r="AK610" s="9"/>
      <c r="AL610" s="9"/>
      <c r="AM610" s="9"/>
      <c r="AN610" s="9"/>
      <c r="AO610" s="9"/>
      <c r="AP610" s="9"/>
      <c r="AQ610" s="9"/>
      <c r="AR610" s="9"/>
      <c r="AS610" s="9"/>
      <c r="AT610" s="9"/>
      <c r="AU610" s="9"/>
      <c r="AV610" s="9"/>
      <c r="AW610" s="9"/>
      <c r="AX610" s="9"/>
    </row>
    <row r="611" spans="1:50" ht="15.75" customHeight="1" x14ac:dyDescent="0.2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212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  <c r="AA611" s="212"/>
      <c r="AB611" s="9"/>
      <c r="AC611" s="9"/>
      <c r="AD611" s="9"/>
      <c r="AE611" s="9"/>
      <c r="AF611" s="9"/>
      <c r="AG611" s="9"/>
      <c r="AH611" s="9"/>
      <c r="AI611" s="9"/>
      <c r="AJ611" s="9"/>
      <c r="AK611" s="9"/>
      <c r="AL611" s="9"/>
      <c r="AM611" s="9"/>
      <c r="AN611" s="9"/>
      <c r="AO611" s="9"/>
      <c r="AP611" s="9"/>
      <c r="AQ611" s="9"/>
      <c r="AR611" s="9"/>
      <c r="AS611" s="9"/>
      <c r="AT611" s="9"/>
      <c r="AU611" s="9"/>
      <c r="AV611" s="9"/>
      <c r="AW611" s="9"/>
      <c r="AX611" s="9"/>
    </row>
    <row r="612" spans="1:50" ht="15.75" customHeight="1" x14ac:dyDescent="0.2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212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  <c r="AA612" s="212"/>
      <c r="AB612" s="9"/>
      <c r="AC612" s="9"/>
      <c r="AD612" s="9"/>
      <c r="AE612" s="9"/>
      <c r="AF612" s="9"/>
      <c r="AG612" s="9"/>
      <c r="AH612" s="9"/>
      <c r="AI612" s="9"/>
      <c r="AJ612" s="9"/>
      <c r="AK612" s="9"/>
      <c r="AL612" s="9"/>
      <c r="AM612" s="9"/>
      <c r="AN612" s="9"/>
      <c r="AO612" s="9"/>
      <c r="AP612" s="9"/>
      <c r="AQ612" s="9"/>
      <c r="AR612" s="9"/>
      <c r="AS612" s="9"/>
      <c r="AT612" s="9"/>
      <c r="AU612" s="9"/>
      <c r="AV612" s="9"/>
      <c r="AW612" s="9"/>
      <c r="AX612" s="9"/>
    </row>
    <row r="613" spans="1:50" ht="15.75" customHeight="1" x14ac:dyDescent="0.2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212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  <c r="AA613" s="212"/>
      <c r="AB613" s="9"/>
      <c r="AC613" s="9"/>
      <c r="AD613" s="9"/>
      <c r="AE613" s="9"/>
      <c r="AF613" s="9"/>
      <c r="AG613" s="9"/>
      <c r="AH613" s="9"/>
      <c r="AI613" s="9"/>
      <c r="AJ613" s="9"/>
      <c r="AK613" s="9"/>
      <c r="AL613" s="9"/>
      <c r="AM613" s="9"/>
      <c r="AN613" s="9"/>
      <c r="AO613" s="9"/>
      <c r="AP613" s="9"/>
      <c r="AQ613" s="9"/>
      <c r="AR613" s="9"/>
      <c r="AS613" s="9"/>
      <c r="AT613" s="9"/>
      <c r="AU613" s="9"/>
      <c r="AV613" s="9"/>
      <c r="AW613" s="9"/>
      <c r="AX613" s="9"/>
    </row>
    <row r="614" spans="1:50" ht="15.75" customHeight="1" x14ac:dyDescent="0.2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212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  <c r="AA614" s="212"/>
      <c r="AB614" s="9"/>
      <c r="AC614" s="9"/>
      <c r="AD614" s="9"/>
      <c r="AE614" s="9"/>
      <c r="AF614" s="9"/>
      <c r="AG614" s="9"/>
      <c r="AH614" s="9"/>
      <c r="AI614" s="9"/>
      <c r="AJ614" s="9"/>
      <c r="AK614" s="9"/>
      <c r="AL614" s="9"/>
      <c r="AM614" s="9"/>
      <c r="AN614" s="9"/>
      <c r="AO614" s="9"/>
      <c r="AP614" s="9"/>
      <c r="AQ614" s="9"/>
      <c r="AR614" s="9"/>
      <c r="AS614" s="9"/>
      <c r="AT614" s="9"/>
      <c r="AU614" s="9"/>
      <c r="AV614" s="9"/>
      <c r="AW614" s="9"/>
      <c r="AX614" s="9"/>
    </row>
    <row r="615" spans="1:50" ht="15.75" customHeight="1" x14ac:dyDescent="0.2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212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  <c r="AA615" s="212"/>
      <c r="AB615" s="9"/>
      <c r="AC615" s="9"/>
      <c r="AD615" s="9"/>
      <c r="AE615" s="9"/>
      <c r="AF615" s="9"/>
      <c r="AG615" s="9"/>
      <c r="AH615" s="9"/>
      <c r="AI615" s="9"/>
      <c r="AJ615" s="9"/>
      <c r="AK615" s="9"/>
      <c r="AL615" s="9"/>
      <c r="AM615" s="9"/>
      <c r="AN615" s="9"/>
      <c r="AO615" s="9"/>
      <c r="AP615" s="9"/>
      <c r="AQ615" s="9"/>
      <c r="AR615" s="9"/>
      <c r="AS615" s="9"/>
      <c r="AT615" s="9"/>
      <c r="AU615" s="9"/>
      <c r="AV615" s="9"/>
      <c r="AW615" s="9"/>
      <c r="AX615" s="9"/>
    </row>
    <row r="616" spans="1:50" ht="15.75" customHeight="1" x14ac:dyDescent="0.2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212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  <c r="AA616" s="212"/>
      <c r="AB616" s="9"/>
      <c r="AC616" s="9"/>
      <c r="AD616" s="9"/>
      <c r="AE616" s="9"/>
      <c r="AF616" s="9"/>
      <c r="AG616" s="9"/>
      <c r="AH616" s="9"/>
      <c r="AI616" s="9"/>
      <c r="AJ616" s="9"/>
      <c r="AK616" s="9"/>
      <c r="AL616" s="9"/>
      <c r="AM616" s="9"/>
      <c r="AN616" s="9"/>
      <c r="AO616" s="9"/>
      <c r="AP616" s="9"/>
      <c r="AQ616" s="9"/>
      <c r="AR616" s="9"/>
      <c r="AS616" s="9"/>
      <c r="AT616" s="9"/>
      <c r="AU616" s="9"/>
      <c r="AV616" s="9"/>
      <c r="AW616" s="9"/>
      <c r="AX616" s="9"/>
    </row>
    <row r="617" spans="1:50" ht="15.75" customHeight="1" x14ac:dyDescent="0.2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212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  <c r="AA617" s="212"/>
      <c r="AB617" s="9"/>
      <c r="AC617" s="9"/>
      <c r="AD617" s="9"/>
      <c r="AE617" s="9"/>
      <c r="AF617" s="9"/>
      <c r="AG617" s="9"/>
      <c r="AH617" s="9"/>
      <c r="AI617" s="9"/>
      <c r="AJ617" s="9"/>
      <c r="AK617" s="9"/>
      <c r="AL617" s="9"/>
      <c r="AM617" s="9"/>
      <c r="AN617" s="9"/>
      <c r="AO617" s="9"/>
      <c r="AP617" s="9"/>
      <c r="AQ617" s="9"/>
      <c r="AR617" s="9"/>
      <c r="AS617" s="9"/>
      <c r="AT617" s="9"/>
      <c r="AU617" s="9"/>
      <c r="AV617" s="9"/>
      <c r="AW617" s="9"/>
      <c r="AX617" s="9"/>
    </row>
    <row r="618" spans="1:50" ht="15.75" customHeight="1" x14ac:dyDescent="0.2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212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  <c r="AA618" s="212"/>
      <c r="AB618" s="9"/>
      <c r="AC618" s="9"/>
      <c r="AD618" s="9"/>
      <c r="AE618" s="9"/>
      <c r="AF618" s="9"/>
      <c r="AG618" s="9"/>
      <c r="AH618" s="9"/>
      <c r="AI618" s="9"/>
      <c r="AJ618" s="9"/>
      <c r="AK618" s="9"/>
      <c r="AL618" s="9"/>
      <c r="AM618" s="9"/>
      <c r="AN618" s="9"/>
      <c r="AO618" s="9"/>
      <c r="AP618" s="9"/>
      <c r="AQ618" s="9"/>
      <c r="AR618" s="9"/>
      <c r="AS618" s="9"/>
      <c r="AT618" s="9"/>
      <c r="AU618" s="9"/>
      <c r="AV618" s="9"/>
      <c r="AW618" s="9"/>
      <c r="AX618" s="9"/>
    </row>
    <row r="619" spans="1:50" ht="15.75" customHeight="1" x14ac:dyDescent="0.2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212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  <c r="AA619" s="212"/>
      <c r="AB619" s="9"/>
      <c r="AC619" s="9"/>
      <c r="AD619" s="9"/>
      <c r="AE619" s="9"/>
      <c r="AF619" s="9"/>
      <c r="AG619" s="9"/>
      <c r="AH619" s="9"/>
      <c r="AI619" s="9"/>
      <c r="AJ619" s="9"/>
      <c r="AK619" s="9"/>
      <c r="AL619" s="9"/>
      <c r="AM619" s="9"/>
      <c r="AN619" s="9"/>
      <c r="AO619" s="9"/>
      <c r="AP619" s="9"/>
      <c r="AQ619" s="9"/>
      <c r="AR619" s="9"/>
      <c r="AS619" s="9"/>
      <c r="AT619" s="9"/>
      <c r="AU619" s="9"/>
      <c r="AV619" s="9"/>
      <c r="AW619" s="9"/>
      <c r="AX619" s="9"/>
    </row>
    <row r="620" spans="1:50" ht="15.75" customHeight="1" x14ac:dyDescent="0.2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212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  <c r="AA620" s="212"/>
      <c r="AB620" s="9"/>
      <c r="AC620" s="9"/>
      <c r="AD620" s="9"/>
      <c r="AE620" s="9"/>
      <c r="AF620" s="9"/>
      <c r="AG620" s="9"/>
      <c r="AH620" s="9"/>
      <c r="AI620" s="9"/>
      <c r="AJ620" s="9"/>
      <c r="AK620" s="9"/>
      <c r="AL620" s="9"/>
      <c r="AM620" s="9"/>
      <c r="AN620" s="9"/>
      <c r="AO620" s="9"/>
      <c r="AP620" s="9"/>
      <c r="AQ620" s="9"/>
      <c r="AR620" s="9"/>
      <c r="AS620" s="9"/>
      <c r="AT620" s="9"/>
      <c r="AU620" s="9"/>
      <c r="AV620" s="9"/>
      <c r="AW620" s="9"/>
      <c r="AX620" s="9"/>
    </row>
    <row r="621" spans="1:50" ht="15.75" customHeight="1" x14ac:dyDescent="0.2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212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  <c r="AA621" s="212"/>
      <c r="AB621" s="9"/>
      <c r="AC621" s="9"/>
      <c r="AD621" s="9"/>
      <c r="AE621" s="9"/>
      <c r="AF621" s="9"/>
      <c r="AG621" s="9"/>
      <c r="AH621" s="9"/>
      <c r="AI621" s="9"/>
      <c r="AJ621" s="9"/>
      <c r="AK621" s="9"/>
      <c r="AL621" s="9"/>
      <c r="AM621" s="9"/>
      <c r="AN621" s="9"/>
      <c r="AO621" s="9"/>
      <c r="AP621" s="9"/>
      <c r="AQ621" s="9"/>
      <c r="AR621" s="9"/>
      <c r="AS621" s="9"/>
      <c r="AT621" s="9"/>
      <c r="AU621" s="9"/>
      <c r="AV621" s="9"/>
      <c r="AW621" s="9"/>
      <c r="AX621" s="9"/>
    </row>
    <row r="622" spans="1:50" ht="15.75" customHeight="1" x14ac:dyDescent="0.2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212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  <c r="AA622" s="212"/>
      <c r="AB622" s="9"/>
      <c r="AC622" s="9"/>
      <c r="AD622" s="9"/>
      <c r="AE622" s="9"/>
      <c r="AF622" s="9"/>
      <c r="AG622" s="9"/>
      <c r="AH622" s="9"/>
      <c r="AI622" s="9"/>
      <c r="AJ622" s="9"/>
      <c r="AK622" s="9"/>
      <c r="AL622" s="9"/>
      <c r="AM622" s="9"/>
      <c r="AN622" s="9"/>
      <c r="AO622" s="9"/>
      <c r="AP622" s="9"/>
      <c r="AQ622" s="9"/>
      <c r="AR622" s="9"/>
      <c r="AS622" s="9"/>
      <c r="AT622" s="9"/>
      <c r="AU622" s="9"/>
      <c r="AV622" s="9"/>
      <c r="AW622" s="9"/>
      <c r="AX622" s="9"/>
    </row>
    <row r="623" spans="1:50" ht="15.75" customHeight="1" x14ac:dyDescent="0.2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212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  <c r="AA623" s="212"/>
      <c r="AB623" s="9"/>
      <c r="AC623" s="9"/>
      <c r="AD623" s="9"/>
      <c r="AE623" s="9"/>
      <c r="AF623" s="9"/>
      <c r="AG623" s="9"/>
      <c r="AH623" s="9"/>
      <c r="AI623" s="9"/>
      <c r="AJ623" s="9"/>
      <c r="AK623" s="9"/>
      <c r="AL623" s="9"/>
      <c r="AM623" s="9"/>
      <c r="AN623" s="9"/>
      <c r="AO623" s="9"/>
      <c r="AP623" s="9"/>
      <c r="AQ623" s="9"/>
      <c r="AR623" s="9"/>
      <c r="AS623" s="9"/>
      <c r="AT623" s="9"/>
      <c r="AU623" s="9"/>
      <c r="AV623" s="9"/>
      <c r="AW623" s="9"/>
      <c r="AX623" s="9"/>
    </row>
    <row r="624" spans="1:50" ht="15.75" customHeight="1" x14ac:dyDescent="0.2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212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  <c r="AA624" s="212"/>
      <c r="AB624" s="9"/>
      <c r="AC624" s="9"/>
      <c r="AD624" s="9"/>
      <c r="AE624" s="9"/>
      <c r="AF624" s="9"/>
      <c r="AG624" s="9"/>
      <c r="AH624" s="9"/>
      <c r="AI624" s="9"/>
      <c r="AJ624" s="9"/>
      <c r="AK624" s="9"/>
      <c r="AL624" s="9"/>
      <c r="AM624" s="9"/>
      <c r="AN624" s="9"/>
      <c r="AO624" s="9"/>
      <c r="AP624" s="9"/>
      <c r="AQ624" s="9"/>
      <c r="AR624" s="9"/>
      <c r="AS624" s="9"/>
      <c r="AT624" s="9"/>
      <c r="AU624" s="9"/>
      <c r="AV624" s="9"/>
      <c r="AW624" s="9"/>
      <c r="AX624" s="9"/>
    </row>
    <row r="625" spans="1:50" ht="15.75" customHeight="1" x14ac:dyDescent="0.2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212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  <c r="AA625" s="212"/>
      <c r="AB625" s="9"/>
      <c r="AC625" s="9"/>
      <c r="AD625" s="9"/>
      <c r="AE625" s="9"/>
      <c r="AF625" s="9"/>
      <c r="AG625" s="9"/>
      <c r="AH625" s="9"/>
      <c r="AI625" s="9"/>
      <c r="AJ625" s="9"/>
      <c r="AK625" s="9"/>
      <c r="AL625" s="9"/>
      <c r="AM625" s="9"/>
      <c r="AN625" s="9"/>
      <c r="AO625" s="9"/>
      <c r="AP625" s="9"/>
      <c r="AQ625" s="9"/>
      <c r="AR625" s="9"/>
      <c r="AS625" s="9"/>
      <c r="AT625" s="9"/>
      <c r="AU625" s="9"/>
      <c r="AV625" s="9"/>
      <c r="AW625" s="9"/>
      <c r="AX625" s="9"/>
    </row>
    <row r="626" spans="1:50" ht="15.75" customHeight="1" x14ac:dyDescent="0.2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212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  <c r="AA626" s="212"/>
      <c r="AB626" s="9"/>
      <c r="AC626" s="9"/>
      <c r="AD626" s="9"/>
      <c r="AE626" s="9"/>
      <c r="AF626" s="9"/>
      <c r="AG626" s="9"/>
      <c r="AH626" s="9"/>
      <c r="AI626" s="9"/>
      <c r="AJ626" s="9"/>
      <c r="AK626" s="9"/>
      <c r="AL626" s="9"/>
      <c r="AM626" s="9"/>
      <c r="AN626" s="9"/>
      <c r="AO626" s="9"/>
      <c r="AP626" s="9"/>
      <c r="AQ626" s="9"/>
      <c r="AR626" s="9"/>
      <c r="AS626" s="9"/>
      <c r="AT626" s="9"/>
      <c r="AU626" s="9"/>
      <c r="AV626" s="9"/>
      <c r="AW626" s="9"/>
      <c r="AX626" s="9"/>
    </row>
    <row r="627" spans="1:50" ht="15.75" customHeight="1" x14ac:dyDescent="0.2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212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  <c r="AA627" s="212"/>
      <c r="AB627" s="9"/>
      <c r="AC627" s="9"/>
      <c r="AD627" s="9"/>
      <c r="AE627" s="9"/>
      <c r="AF627" s="9"/>
      <c r="AG627" s="9"/>
      <c r="AH627" s="9"/>
      <c r="AI627" s="9"/>
      <c r="AJ627" s="9"/>
      <c r="AK627" s="9"/>
      <c r="AL627" s="9"/>
      <c r="AM627" s="9"/>
      <c r="AN627" s="9"/>
      <c r="AO627" s="9"/>
      <c r="AP627" s="9"/>
      <c r="AQ627" s="9"/>
      <c r="AR627" s="9"/>
      <c r="AS627" s="9"/>
      <c r="AT627" s="9"/>
      <c r="AU627" s="9"/>
      <c r="AV627" s="9"/>
      <c r="AW627" s="9"/>
      <c r="AX627" s="9"/>
    </row>
    <row r="628" spans="1:50" ht="15.75" customHeight="1" x14ac:dyDescent="0.2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212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  <c r="AA628" s="212"/>
      <c r="AB628" s="9"/>
      <c r="AC628" s="9"/>
      <c r="AD628" s="9"/>
      <c r="AE628" s="9"/>
      <c r="AF628" s="9"/>
      <c r="AG628" s="9"/>
      <c r="AH628" s="9"/>
      <c r="AI628" s="9"/>
      <c r="AJ628" s="9"/>
      <c r="AK628" s="9"/>
      <c r="AL628" s="9"/>
      <c r="AM628" s="9"/>
      <c r="AN628" s="9"/>
      <c r="AO628" s="9"/>
      <c r="AP628" s="9"/>
      <c r="AQ628" s="9"/>
      <c r="AR628" s="9"/>
      <c r="AS628" s="9"/>
      <c r="AT628" s="9"/>
      <c r="AU628" s="9"/>
      <c r="AV628" s="9"/>
      <c r="AW628" s="9"/>
      <c r="AX628" s="9"/>
    </row>
    <row r="629" spans="1:50" ht="15.75" customHeight="1" x14ac:dyDescent="0.2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212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  <c r="AA629" s="212"/>
      <c r="AB629" s="9"/>
      <c r="AC629" s="9"/>
      <c r="AD629" s="9"/>
      <c r="AE629" s="9"/>
      <c r="AF629" s="9"/>
      <c r="AG629" s="9"/>
      <c r="AH629" s="9"/>
      <c r="AI629" s="9"/>
      <c r="AJ629" s="9"/>
      <c r="AK629" s="9"/>
      <c r="AL629" s="9"/>
      <c r="AM629" s="9"/>
      <c r="AN629" s="9"/>
      <c r="AO629" s="9"/>
      <c r="AP629" s="9"/>
      <c r="AQ629" s="9"/>
      <c r="AR629" s="9"/>
      <c r="AS629" s="9"/>
      <c r="AT629" s="9"/>
      <c r="AU629" s="9"/>
      <c r="AV629" s="9"/>
      <c r="AW629" s="9"/>
      <c r="AX629" s="9"/>
    </row>
    <row r="630" spans="1:50" ht="15.75" customHeight="1" x14ac:dyDescent="0.2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212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  <c r="AA630" s="212"/>
      <c r="AB630" s="9"/>
      <c r="AC630" s="9"/>
      <c r="AD630" s="9"/>
      <c r="AE630" s="9"/>
      <c r="AF630" s="9"/>
      <c r="AG630" s="9"/>
      <c r="AH630" s="9"/>
      <c r="AI630" s="9"/>
      <c r="AJ630" s="9"/>
      <c r="AK630" s="9"/>
      <c r="AL630" s="9"/>
      <c r="AM630" s="9"/>
      <c r="AN630" s="9"/>
      <c r="AO630" s="9"/>
      <c r="AP630" s="9"/>
      <c r="AQ630" s="9"/>
      <c r="AR630" s="9"/>
      <c r="AS630" s="9"/>
      <c r="AT630" s="9"/>
      <c r="AU630" s="9"/>
      <c r="AV630" s="9"/>
      <c r="AW630" s="9"/>
      <c r="AX630" s="9"/>
    </row>
    <row r="631" spans="1:50" ht="15.75" customHeight="1" x14ac:dyDescent="0.2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212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  <c r="AA631" s="212"/>
      <c r="AB631" s="9"/>
      <c r="AC631" s="9"/>
      <c r="AD631" s="9"/>
      <c r="AE631" s="9"/>
      <c r="AF631" s="9"/>
      <c r="AG631" s="9"/>
      <c r="AH631" s="9"/>
      <c r="AI631" s="9"/>
      <c r="AJ631" s="9"/>
      <c r="AK631" s="9"/>
      <c r="AL631" s="9"/>
      <c r="AM631" s="9"/>
      <c r="AN631" s="9"/>
      <c r="AO631" s="9"/>
      <c r="AP631" s="9"/>
      <c r="AQ631" s="9"/>
      <c r="AR631" s="9"/>
      <c r="AS631" s="9"/>
      <c r="AT631" s="9"/>
      <c r="AU631" s="9"/>
      <c r="AV631" s="9"/>
      <c r="AW631" s="9"/>
      <c r="AX631" s="9"/>
    </row>
    <row r="632" spans="1:50" ht="15.75" customHeight="1" x14ac:dyDescent="0.2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212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  <c r="AA632" s="212"/>
      <c r="AB632" s="9"/>
      <c r="AC632" s="9"/>
      <c r="AD632" s="9"/>
      <c r="AE632" s="9"/>
      <c r="AF632" s="9"/>
      <c r="AG632" s="9"/>
      <c r="AH632" s="9"/>
      <c r="AI632" s="9"/>
      <c r="AJ632" s="9"/>
      <c r="AK632" s="9"/>
      <c r="AL632" s="9"/>
      <c r="AM632" s="9"/>
      <c r="AN632" s="9"/>
      <c r="AO632" s="9"/>
      <c r="AP632" s="9"/>
      <c r="AQ632" s="9"/>
      <c r="AR632" s="9"/>
      <c r="AS632" s="9"/>
      <c r="AT632" s="9"/>
      <c r="AU632" s="9"/>
      <c r="AV632" s="9"/>
      <c r="AW632" s="9"/>
      <c r="AX632" s="9"/>
    </row>
    <row r="633" spans="1:50" ht="15.75" customHeight="1" x14ac:dyDescent="0.2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212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  <c r="AA633" s="212"/>
      <c r="AB633" s="9"/>
      <c r="AC633" s="9"/>
      <c r="AD633" s="9"/>
      <c r="AE633" s="9"/>
      <c r="AF633" s="9"/>
      <c r="AG633" s="9"/>
      <c r="AH633" s="9"/>
      <c r="AI633" s="9"/>
      <c r="AJ633" s="9"/>
      <c r="AK633" s="9"/>
      <c r="AL633" s="9"/>
      <c r="AM633" s="9"/>
      <c r="AN633" s="9"/>
      <c r="AO633" s="9"/>
      <c r="AP633" s="9"/>
      <c r="AQ633" s="9"/>
      <c r="AR633" s="9"/>
      <c r="AS633" s="9"/>
      <c r="AT633" s="9"/>
      <c r="AU633" s="9"/>
      <c r="AV633" s="9"/>
      <c r="AW633" s="9"/>
      <c r="AX633" s="9"/>
    </row>
    <row r="634" spans="1:50" ht="15.75" customHeight="1" x14ac:dyDescent="0.2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212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  <c r="AA634" s="212"/>
      <c r="AB634" s="9"/>
      <c r="AC634" s="9"/>
      <c r="AD634" s="9"/>
      <c r="AE634" s="9"/>
      <c r="AF634" s="9"/>
      <c r="AG634" s="9"/>
      <c r="AH634" s="9"/>
      <c r="AI634" s="9"/>
      <c r="AJ634" s="9"/>
      <c r="AK634" s="9"/>
      <c r="AL634" s="9"/>
      <c r="AM634" s="9"/>
      <c r="AN634" s="9"/>
      <c r="AO634" s="9"/>
      <c r="AP634" s="9"/>
      <c r="AQ634" s="9"/>
      <c r="AR634" s="9"/>
      <c r="AS634" s="9"/>
      <c r="AT634" s="9"/>
      <c r="AU634" s="9"/>
      <c r="AV634" s="9"/>
      <c r="AW634" s="9"/>
      <c r="AX634" s="9"/>
    </row>
    <row r="635" spans="1:50" ht="15.75" customHeight="1" x14ac:dyDescent="0.2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212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  <c r="AA635" s="212"/>
      <c r="AB635" s="9"/>
      <c r="AC635" s="9"/>
      <c r="AD635" s="9"/>
      <c r="AE635" s="9"/>
      <c r="AF635" s="9"/>
      <c r="AG635" s="9"/>
      <c r="AH635" s="9"/>
      <c r="AI635" s="9"/>
      <c r="AJ635" s="9"/>
      <c r="AK635" s="9"/>
      <c r="AL635" s="9"/>
      <c r="AM635" s="9"/>
      <c r="AN635" s="9"/>
      <c r="AO635" s="9"/>
      <c r="AP635" s="9"/>
      <c r="AQ635" s="9"/>
      <c r="AR635" s="9"/>
      <c r="AS635" s="9"/>
      <c r="AT635" s="9"/>
      <c r="AU635" s="9"/>
      <c r="AV635" s="9"/>
      <c r="AW635" s="9"/>
      <c r="AX635" s="9"/>
    </row>
    <row r="636" spans="1:50" ht="15.75" customHeight="1" x14ac:dyDescent="0.2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212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  <c r="AA636" s="212"/>
      <c r="AB636" s="9"/>
      <c r="AC636" s="9"/>
      <c r="AD636" s="9"/>
      <c r="AE636" s="9"/>
      <c r="AF636" s="9"/>
      <c r="AG636" s="9"/>
      <c r="AH636" s="9"/>
      <c r="AI636" s="9"/>
      <c r="AJ636" s="9"/>
      <c r="AK636" s="9"/>
      <c r="AL636" s="9"/>
      <c r="AM636" s="9"/>
      <c r="AN636" s="9"/>
      <c r="AO636" s="9"/>
      <c r="AP636" s="9"/>
      <c r="AQ636" s="9"/>
      <c r="AR636" s="9"/>
      <c r="AS636" s="9"/>
      <c r="AT636" s="9"/>
      <c r="AU636" s="9"/>
      <c r="AV636" s="9"/>
      <c r="AW636" s="9"/>
      <c r="AX636" s="9"/>
    </row>
    <row r="637" spans="1:50" ht="15.75" customHeight="1" x14ac:dyDescent="0.2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212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  <c r="AA637" s="212"/>
      <c r="AB637" s="9"/>
      <c r="AC637" s="9"/>
      <c r="AD637" s="9"/>
      <c r="AE637" s="9"/>
      <c r="AF637" s="9"/>
      <c r="AG637" s="9"/>
      <c r="AH637" s="9"/>
      <c r="AI637" s="9"/>
      <c r="AJ637" s="9"/>
      <c r="AK637" s="9"/>
      <c r="AL637" s="9"/>
      <c r="AM637" s="9"/>
      <c r="AN637" s="9"/>
      <c r="AO637" s="9"/>
      <c r="AP637" s="9"/>
      <c r="AQ637" s="9"/>
      <c r="AR637" s="9"/>
      <c r="AS637" s="9"/>
      <c r="AT637" s="9"/>
      <c r="AU637" s="9"/>
      <c r="AV637" s="9"/>
      <c r="AW637" s="9"/>
      <c r="AX637" s="9"/>
    </row>
    <row r="638" spans="1:50" ht="15.75" customHeight="1" x14ac:dyDescent="0.2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212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  <c r="AA638" s="212"/>
      <c r="AB638" s="9"/>
      <c r="AC638" s="9"/>
      <c r="AD638" s="9"/>
      <c r="AE638" s="9"/>
      <c r="AF638" s="9"/>
      <c r="AG638" s="9"/>
      <c r="AH638" s="9"/>
      <c r="AI638" s="9"/>
      <c r="AJ638" s="9"/>
      <c r="AK638" s="9"/>
      <c r="AL638" s="9"/>
      <c r="AM638" s="9"/>
      <c r="AN638" s="9"/>
      <c r="AO638" s="9"/>
      <c r="AP638" s="9"/>
      <c r="AQ638" s="9"/>
      <c r="AR638" s="9"/>
      <c r="AS638" s="9"/>
      <c r="AT638" s="9"/>
      <c r="AU638" s="9"/>
      <c r="AV638" s="9"/>
      <c r="AW638" s="9"/>
      <c r="AX638" s="9"/>
    </row>
    <row r="639" spans="1:50" ht="15.75" customHeight="1" x14ac:dyDescent="0.2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212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  <c r="AA639" s="212"/>
      <c r="AB639" s="9"/>
      <c r="AC639" s="9"/>
      <c r="AD639" s="9"/>
      <c r="AE639" s="9"/>
      <c r="AF639" s="9"/>
      <c r="AG639" s="9"/>
      <c r="AH639" s="9"/>
      <c r="AI639" s="9"/>
      <c r="AJ639" s="9"/>
      <c r="AK639" s="9"/>
      <c r="AL639" s="9"/>
      <c r="AM639" s="9"/>
      <c r="AN639" s="9"/>
      <c r="AO639" s="9"/>
      <c r="AP639" s="9"/>
      <c r="AQ639" s="9"/>
      <c r="AR639" s="9"/>
      <c r="AS639" s="9"/>
      <c r="AT639" s="9"/>
      <c r="AU639" s="9"/>
      <c r="AV639" s="9"/>
      <c r="AW639" s="9"/>
      <c r="AX639" s="9"/>
    </row>
    <row r="640" spans="1:50" ht="15.75" customHeight="1" x14ac:dyDescent="0.2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212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  <c r="AA640" s="212"/>
      <c r="AB640" s="9"/>
      <c r="AC640" s="9"/>
      <c r="AD640" s="9"/>
      <c r="AE640" s="9"/>
      <c r="AF640" s="9"/>
      <c r="AG640" s="9"/>
      <c r="AH640" s="9"/>
      <c r="AI640" s="9"/>
      <c r="AJ640" s="9"/>
      <c r="AK640" s="9"/>
      <c r="AL640" s="9"/>
      <c r="AM640" s="9"/>
      <c r="AN640" s="9"/>
      <c r="AO640" s="9"/>
      <c r="AP640" s="9"/>
      <c r="AQ640" s="9"/>
      <c r="AR640" s="9"/>
      <c r="AS640" s="9"/>
      <c r="AT640" s="9"/>
      <c r="AU640" s="9"/>
      <c r="AV640" s="9"/>
      <c r="AW640" s="9"/>
      <c r="AX640" s="9"/>
    </row>
    <row r="641" spans="1:50" ht="15.75" customHeight="1" x14ac:dyDescent="0.2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212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  <c r="AA641" s="212"/>
      <c r="AB641" s="9"/>
      <c r="AC641" s="9"/>
      <c r="AD641" s="9"/>
      <c r="AE641" s="9"/>
      <c r="AF641" s="9"/>
      <c r="AG641" s="9"/>
      <c r="AH641" s="9"/>
      <c r="AI641" s="9"/>
      <c r="AJ641" s="9"/>
      <c r="AK641" s="9"/>
      <c r="AL641" s="9"/>
      <c r="AM641" s="9"/>
      <c r="AN641" s="9"/>
      <c r="AO641" s="9"/>
      <c r="AP641" s="9"/>
      <c r="AQ641" s="9"/>
      <c r="AR641" s="9"/>
      <c r="AS641" s="9"/>
      <c r="AT641" s="9"/>
      <c r="AU641" s="9"/>
      <c r="AV641" s="9"/>
      <c r="AW641" s="9"/>
      <c r="AX641" s="9"/>
    </row>
    <row r="642" spans="1:50" ht="15.75" customHeight="1" x14ac:dyDescent="0.2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212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  <c r="AA642" s="212"/>
      <c r="AB642" s="9"/>
      <c r="AC642" s="9"/>
      <c r="AD642" s="9"/>
      <c r="AE642" s="9"/>
      <c r="AF642" s="9"/>
      <c r="AG642" s="9"/>
      <c r="AH642" s="9"/>
      <c r="AI642" s="9"/>
      <c r="AJ642" s="9"/>
      <c r="AK642" s="9"/>
      <c r="AL642" s="9"/>
      <c r="AM642" s="9"/>
      <c r="AN642" s="9"/>
      <c r="AO642" s="9"/>
      <c r="AP642" s="9"/>
      <c r="AQ642" s="9"/>
      <c r="AR642" s="9"/>
      <c r="AS642" s="9"/>
      <c r="AT642" s="9"/>
      <c r="AU642" s="9"/>
      <c r="AV642" s="9"/>
      <c r="AW642" s="9"/>
      <c r="AX642" s="9"/>
    </row>
    <row r="643" spans="1:50" ht="15.75" customHeight="1" x14ac:dyDescent="0.2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212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  <c r="AA643" s="212"/>
      <c r="AB643" s="9"/>
      <c r="AC643" s="9"/>
      <c r="AD643" s="9"/>
      <c r="AE643" s="9"/>
      <c r="AF643" s="9"/>
      <c r="AG643" s="9"/>
      <c r="AH643" s="9"/>
      <c r="AI643" s="9"/>
      <c r="AJ643" s="9"/>
      <c r="AK643" s="9"/>
      <c r="AL643" s="9"/>
      <c r="AM643" s="9"/>
      <c r="AN643" s="9"/>
      <c r="AO643" s="9"/>
      <c r="AP643" s="9"/>
      <c r="AQ643" s="9"/>
      <c r="AR643" s="9"/>
      <c r="AS643" s="9"/>
      <c r="AT643" s="9"/>
      <c r="AU643" s="9"/>
      <c r="AV643" s="9"/>
      <c r="AW643" s="9"/>
      <c r="AX643" s="9"/>
    </row>
    <row r="644" spans="1:50" ht="15.75" customHeight="1" x14ac:dyDescent="0.2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212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  <c r="AA644" s="212"/>
      <c r="AB644" s="9"/>
      <c r="AC644" s="9"/>
      <c r="AD644" s="9"/>
      <c r="AE644" s="9"/>
      <c r="AF644" s="9"/>
      <c r="AG644" s="9"/>
      <c r="AH644" s="9"/>
      <c r="AI644" s="9"/>
      <c r="AJ644" s="9"/>
      <c r="AK644" s="9"/>
      <c r="AL644" s="9"/>
      <c r="AM644" s="9"/>
      <c r="AN644" s="9"/>
      <c r="AO644" s="9"/>
      <c r="AP644" s="9"/>
      <c r="AQ644" s="9"/>
      <c r="AR644" s="9"/>
      <c r="AS644" s="9"/>
      <c r="AT644" s="9"/>
      <c r="AU644" s="9"/>
      <c r="AV644" s="9"/>
      <c r="AW644" s="9"/>
      <c r="AX644" s="9"/>
    </row>
    <row r="645" spans="1:50" ht="15.75" customHeight="1" x14ac:dyDescent="0.2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212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  <c r="AA645" s="212"/>
      <c r="AB645" s="9"/>
      <c r="AC645" s="9"/>
      <c r="AD645" s="9"/>
      <c r="AE645" s="9"/>
      <c r="AF645" s="9"/>
      <c r="AG645" s="9"/>
      <c r="AH645" s="9"/>
      <c r="AI645" s="9"/>
      <c r="AJ645" s="9"/>
      <c r="AK645" s="9"/>
      <c r="AL645" s="9"/>
      <c r="AM645" s="9"/>
      <c r="AN645" s="9"/>
      <c r="AO645" s="9"/>
      <c r="AP645" s="9"/>
      <c r="AQ645" s="9"/>
      <c r="AR645" s="9"/>
      <c r="AS645" s="9"/>
      <c r="AT645" s="9"/>
      <c r="AU645" s="9"/>
      <c r="AV645" s="9"/>
      <c r="AW645" s="9"/>
      <c r="AX645" s="9"/>
    </row>
    <row r="646" spans="1:50" ht="15.75" customHeight="1" x14ac:dyDescent="0.2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212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  <c r="AA646" s="212"/>
      <c r="AB646" s="9"/>
      <c r="AC646" s="9"/>
      <c r="AD646" s="9"/>
      <c r="AE646" s="9"/>
      <c r="AF646" s="9"/>
      <c r="AG646" s="9"/>
      <c r="AH646" s="9"/>
      <c r="AI646" s="9"/>
      <c r="AJ646" s="9"/>
      <c r="AK646" s="9"/>
      <c r="AL646" s="9"/>
      <c r="AM646" s="9"/>
      <c r="AN646" s="9"/>
      <c r="AO646" s="9"/>
      <c r="AP646" s="9"/>
      <c r="AQ646" s="9"/>
      <c r="AR646" s="9"/>
      <c r="AS646" s="9"/>
      <c r="AT646" s="9"/>
      <c r="AU646" s="9"/>
      <c r="AV646" s="9"/>
      <c r="AW646" s="9"/>
      <c r="AX646" s="9"/>
    </row>
    <row r="647" spans="1:50" ht="15.75" customHeight="1" x14ac:dyDescent="0.2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212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  <c r="AA647" s="212"/>
      <c r="AB647" s="9"/>
      <c r="AC647" s="9"/>
      <c r="AD647" s="9"/>
      <c r="AE647" s="9"/>
      <c r="AF647" s="9"/>
      <c r="AG647" s="9"/>
      <c r="AH647" s="9"/>
      <c r="AI647" s="9"/>
      <c r="AJ647" s="9"/>
      <c r="AK647" s="9"/>
      <c r="AL647" s="9"/>
      <c r="AM647" s="9"/>
      <c r="AN647" s="9"/>
      <c r="AO647" s="9"/>
      <c r="AP647" s="9"/>
      <c r="AQ647" s="9"/>
      <c r="AR647" s="9"/>
      <c r="AS647" s="9"/>
      <c r="AT647" s="9"/>
      <c r="AU647" s="9"/>
      <c r="AV647" s="9"/>
      <c r="AW647" s="9"/>
      <c r="AX647" s="9"/>
    </row>
    <row r="648" spans="1:50" ht="15.75" customHeight="1" x14ac:dyDescent="0.2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212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  <c r="AA648" s="212"/>
      <c r="AB648" s="9"/>
      <c r="AC648" s="9"/>
      <c r="AD648" s="9"/>
      <c r="AE648" s="9"/>
      <c r="AF648" s="9"/>
      <c r="AG648" s="9"/>
      <c r="AH648" s="9"/>
      <c r="AI648" s="9"/>
      <c r="AJ648" s="9"/>
      <c r="AK648" s="9"/>
      <c r="AL648" s="9"/>
      <c r="AM648" s="9"/>
      <c r="AN648" s="9"/>
      <c r="AO648" s="9"/>
      <c r="AP648" s="9"/>
      <c r="AQ648" s="9"/>
      <c r="AR648" s="9"/>
      <c r="AS648" s="9"/>
      <c r="AT648" s="9"/>
      <c r="AU648" s="9"/>
      <c r="AV648" s="9"/>
      <c r="AW648" s="9"/>
      <c r="AX648" s="9"/>
    </row>
    <row r="649" spans="1:50" ht="15.75" customHeight="1" x14ac:dyDescent="0.2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212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  <c r="AA649" s="212"/>
      <c r="AB649" s="9"/>
      <c r="AC649" s="9"/>
      <c r="AD649" s="9"/>
      <c r="AE649" s="9"/>
      <c r="AF649" s="9"/>
      <c r="AG649" s="9"/>
      <c r="AH649" s="9"/>
      <c r="AI649" s="9"/>
      <c r="AJ649" s="9"/>
      <c r="AK649" s="9"/>
      <c r="AL649" s="9"/>
      <c r="AM649" s="9"/>
      <c r="AN649" s="9"/>
      <c r="AO649" s="9"/>
      <c r="AP649" s="9"/>
      <c r="AQ649" s="9"/>
      <c r="AR649" s="9"/>
      <c r="AS649" s="9"/>
      <c r="AT649" s="9"/>
      <c r="AU649" s="9"/>
      <c r="AV649" s="9"/>
      <c r="AW649" s="9"/>
      <c r="AX649" s="9"/>
    </row>
    <row r="650" spans="1:50" ht="15.75" customHeight="1" x14ac:dyDescent="0.2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212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  <c r="AA650" s="212"/>
      <c r="AB650" s="9"/>
      <c r="AC650" s="9"/>
      <c r="AD650" s="9"/>
      <c r="AE650" s="9"/>
      <c r="AF650" s="9"/>
      <c r="AG650" s="9"/>
      <c r="AH650" s="9"/>
      <c r="AI650" s="9"/>
      <c r="AJ650" s="9"/>
      <c r="AK650" s="9"/>
      <c r="AL650" s="9"/>
      <c r="AM650" s="9"/>
      <c r="AN650" s="9"/>
      <c r="AO650" s="9"/>
      <c r="AP650" s="9"/>
      <c r="AQ650" s="9"/>
      <c r="AR650" s="9"/>
      <c r="AS650" s="9"/>
      <c r="AT650" s="9"/>
      <c r="AU650" s="9"/>
      <c r="AV650" s="9"/>
      <c r="AW650" s="9"/>
      <c r="AX650" s="9"/>
    </row>
    <row r="651" spans="1:50" ht="15.75" customHeight="1" x14ac:dyDescent="0.2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212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  <c r="AA651" s="212"/>
      <c r="AB651" s="9"/>
      <c r="AC651" s="9"/>
      <c r="AD651" s="9"/>
      <c r="AE651" s="9"/>
      <c r="AF651" s="9"/>
      <c r="AG651" s="9"/>
      <c r="AH651" s="9"/>
      <c r="AI651" s="9"/>
      <c r="AJ651" s="9"/>
      <c r="AK651" s="9"/>
      <c r="AL651" s="9"/>
      <c r="AM651" s="9"/>
      <c r="AN651" s="9"/>
      <c r="AO651" s="9"/>
      <c r="AP651" s="9"/>
      <c r="AQ651" s="9"/>
      <c r="AR651" s="9"/>
      <c r="AS651" s="9"/>
      <c r="AT651" s="9"/>
      <c r="AU651" s="9"/>
      <c r="AV651" s="9"/>
      <c r="AW651" s="9"/>
      <c r="AX651" s="9"/>
    </row>
    <row r="652" spans="1:50" ht="15.75" customHeight="1" x14ac:dyDescent="0.2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212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  <c r="AA652" s="212"/>
      <c r="AB652" s="9"/>
      <c r="AC652" s="9"/>
      <c r="AD652" s="9"/>
      <c r="AE652" s="9"/>
      <c r="AF652" s="9"/>
      <c r="AG652" s="9"/>
      <c r="AH652" s="9"/>
      <c r="AI652" s="9"/>
      <c r="AJ652" s="9"/>
      <c r="AK652" s="9"/>
      <c r="AL652" s="9"/>
      <c r="AM652" s="9"/>
      <c r="AN652" s="9"/>
      <c r="AO652" s="9"/>
      <c r="AP652" s="9"/>
      <c r="AQ652" s="9"/>
      <c r="AR652" s="9"/>
      <c r="AS652" s="9"/>
      <c r="AT652" s="9"/>
      <c r="AU652" s="9"/>
      <c r="AV652" s="9"/>
      <c r="AW652" s="9"/>
      <c r="AX652" s="9"/>
    </row>
    <row r="653" spans="1:50" ht="15.75" customHeight="1" x14ac:dyDescent="0.2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212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  <c r="AA653" s="212"/>
      <c r="AB653" s="9"/>
      <c r="AC653" s="9"/>
      <c r="AD653" s="9"/>
      <c r="AE653" s="9"/>
      <c r="AF653" s="9"/>
      <c r="AG653" s="9"/>
      <c r="AH653" s="9"/>
      <c r="AI653" s="9"/>
      <c r="AJ653" s="9"/>
      <c r="AK653" s="9"/>
      <c r="AL653" s="9"/>
      <c r="AM653" s="9"/>
      <c r="AN653" s="9"/>
      <c r="AO653" s="9"/>
      <c r="AP653" s="9"/>
      <c r="AQ653" s="9"/>
      <c r="AR653" s="9"/>
      <c r="AS653" s="9"/>
      <c r="AT653" s="9"/>
      <c r="AU653" s="9"/>
      <c r="AV653" s="9"/>
      <c r="AW653" s="9"/>
      <c r="AX653" s="9"/>
    </row>
    <row r="654" spans="1:50" ht="15.75" customHeight="1" x14ac:dyDescent="0.2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212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  <c r="AA654" s="212"/>
      <c r="AB654" s="9"/>
      <c r="AC654" s="9"/>
      <c r="AD654" s="9"/>
      <c r="AE654" s="9"/>
      <c r="AF654" s="9"/>
      <c r="AG654" s="9"/>
      <c r="AH654" s="9"/>
      <c r="AI654" s="9"/>
      <c r="AJ654" s="9"/>
      <c r="AK654" s="9"/>
      <c r="AL654" s="9"/>
      <c r="AM654" s="9"/>
      <c r="AN654" s="9"/>
      <c r="AO654" s="9"/>
      <c r="AP654" s="9"/>
      <c r="AQ654" s="9"/>
      <c r="AR654" s="9"/>
      <c r="AS654" s="9"/>
      <c r="AT654" s="9"/>
      <c r="AU654" s="9"/>
      <c r="AV654" s="9"/>
      <c r="AW654" s="9"/>
      <c r="AX654" s="9"/>
    </row>
    <row r="655" spans="1:50" ht="15.75" customHeight="1" x14ac:dyDescent="0.2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212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  <c r="AA655" s="212"/>
      <c r="AB655" s="9"/>
      <c r="AC655" s="9"/>
      <c r="AD655" s="9"/>
      <c r="AE655" s="9"/>
      <c r="AF655" s="9"/>
      <c r="AG655" s="9"/>
      <c r="AH655" s="9"/>
      <c r="AI655" s="9"/>
      <c r="AJ655" s="9"/>
      <c r="AK655" s="9"/>
      <c r="AL655" s="9"/>
      <c r="AM655" s="9"/>
      <c r="AN655" s="9"/>
      <c r="AO655" s="9"/>
      <c r="AP655" s="9"/>
      <c r="AQ655" s="9"/>
      <c r="AR655" s="9"/>
      <c r="AS655" s="9"/>
      <c r="AT655" s="9"/>
      <c r="AU655" s="9"/>
      <c r="AV655" s="9"/>
      <c r="AW655" s="9"/>
      <c r="AX655" s="9"/>
    </row>
    <row r="656" spans="1:50" ht="15.75" customHeight="1" x14ac:dyDescent="0.2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212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  <c r="AA656" s="212"/>
      <c r="AB656" s="9"/>
      <c r="AC656" s="9"/>
      <c r="AD656" s="9"/>
      <c r="AE656" s="9"/>
      <c r="AF656" s="9"/>
      <c r="AG656" s="9"/>
      <c r="AH656" s="9"/>
      <c r="AI656" s="9"/>
      <c r="AJ656" s="9"/>
      <c r="AK656" s="9"/>
      <c r="AL656" s="9"/>
      <c r="AM656" s="9"/>
      <c r="AN656" s="9"/>
      <c r="AO656" s="9"/>
      <c r="AP656" s="9"/>
      <c r="AQ656" s="9"/>
      <c r="AR656" s="9"/>
      <c r="AS656" s="9"/>
      <c r="AT656" s="9"/>
      <c r="AU656" s="9"/>
      <c r="AV656" s="9"/>
      <c r="AW656" s="9"/>
      <c r="AX656" s="9"/>
    </row>
    <row r="657" spans="1:50" ht="15.75" customHeight="1" x14ac:dyDescent="0.2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212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  <c r="AA657" s="212"/>
      <c r="AB657" s="9"/>
      <c r="AC657" s="9"/>
      <c r="AD657" s="9"/>
      <c r="AE657" s="9"/>
      <c r="AF657" s="9"/>
      <c r="AG657" s="9"/>
      <c r="AH657" s="9"/>
      <c r="AI657" s="9"/>
      <c r="AJ657" s="9"/>
      <c r="AK657" s="9"/>
      <c r="AL657" s="9"/>
      <c r="AM657" s="9"/>
      <c r="AN657" s="9"/>
      <c r="AO657" s="9"/>
      <c r="AP657" s="9"/>
      <c r="AQ657" s="9"/>
      <c r="AR657" s="9"/>
      <c r="AS657" s="9"/>
      <c r="AT657" s="9"/>
      <c r="AU657" s="9"/>
      <c r="AV657" s="9"/>
      <c r="AW657" s="9"/>
      <c r="AX657" s="9"/>
    </row>
    <row r="658" spans="1:50" ht="15.75" customHeight="1" x14ac:dyDescent="0.2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212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  <c r="AA658" s="212"/>
      <c r="AB658" s="9"/>
      <c r="AC658" s="9"/>
      <c r="AD658" s="9"/>
      <c r="AE658" s="9"/>
      <c r="AF658" s="9"/>
      <c r="AG658" s="9"/>
      <c r="AH658" s="9"/>
      <c r="AI658" s="9"/>
      <c r="AJ658" s="9"/>
      <c r="AK658" s="9"/>
      <c r="AL658" s="9"/>
      <c r="AM658" s="9"/>
      <c r="AN658" s="9"/>
      <c r="AO658" s="9"/>
      <c r="AP658" s="9"/>
      <c r="AQ658" s="9"/>
      <c r="AR658" s="9"/>
      <c r="AS658" s="9"/>
      <c r="AT658" s="9"/>
      <c r="AU658" s="9"/>
      <c r="AV658" s="9"/>
      <c r="AW658" s="9"/>
      <c r="AX658" s="9"/>
    </row>
    <row r="659" spans="1:50" ht="15.75" customHeight="1" x14ac:dyDescent="0.2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212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  <c r="AA659" s="212"/>
      <c r="AB659" s="9"/>
      <c r="AC659" s="9"/>
      <c r="AD659" s="9"/>
      <c r="AE659" s="9"/>
      <c r="AF659" s="9"/>
      <c r="AG659" s="9"/>
      <c r="AH659" s="9"/>
      <c r="AI659" s="9"/>
      <c r="AJ659" s="9"/>
      <c r="AK659" s="9"/>
      <c r="AL659" s="9"/>
      <c r="AM659" s="9"/>
      <c r="AN659" s="9"/>
      <c r="AO659" s="9"/>
      <c r="AP659" s="9"/>
      <c r="AQ659" s="9"/>
      <c r="AR659" s="9"/>
      <c r="AS659" s="9"/>
      <c r="AT659" s="9"/>
      <c r="AU659" s="9"/>
      <c r="AV659" s="9"/>
      <c r="AW659" s="9"/>
      <c r="AX659" s="9"/>
    </row>
    <row r="660" spans="1:50" ht="15.75" customHeight="1" x14ac:dyDescent="0.2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212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  <c r="AA660" s="212"/>
      <c r="AB660" s="9"/>
      <c r="AC660" s="9"/>
      <c r="AD660" s="9"/>
      <c r="AE660" s="9"/>
      <c r="AF660" s="9"/>
      <c r="AG660" s="9"/>
      <c r="AH660" s="9"/>
      <c r="AI660" s="9"/>
      <c r="AJ660" s="9"/>
      <c r="AK660" s="9"/>
      <c r="AL660" s="9"/>
      <c r="AM660" s="9"/>
      <c r="AN660" s="9"/>
      <c r="AO660" s="9"/>
      <c r="AP660" s="9"/>
      <c r="AQ660" s="9"/>
      <c r="AR660" s="9"/>
      <c r="AS660" s="9"/>
      <c r="AT660" s="9"/>
      <c r="AU660" s="9"/>
      <c r="AV660" s="9"/>
      <c r="AW660" s="9"/>
      <c r="AX660" s="9"/>
    </row>
    <row r="661" spans="1:50" ht="15.75" customHeight="1" x14ac:dyDescent="0.2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212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  <c r="AA661" s="212"/>
      <c r="AB661" s="9"/>
      <c r="AC661" s="9"/>
      <c r="AD661" s="9"/>
      <c r="AE661" s="9"/>
      <c r="AF661" s="9"/>
      <c r="AG661" s="9"/>
      <c r="AH661" s="9"/>
      <c r="AI661" s="9"/>
      <c r="AJ661" s="9"/>
      <c r="AK661" s="9"/>
      <c r="AL661" s="9"/>
      <c r="AM661" s="9"/>
      <c r="AN661" s="9"/>
      <c r="AO661" s="9"/>
      <c r="AP661" s="9"/>
      <c r="AQ661" s="9"/>
      <c r="AR661" s="9"/>
      <c r="AS661" s="9"/>
      <c r="AT661" s="9"/>
      <c r="AU661" s="9"/>
      <c r="AV661" s="9"/>
      <c r="AW661" s="9"/>
      <c r="AX661" s="9"/>
    </row>
    <row r="662" spans="1:50" ht="15.75" customHeight="1" x14ac:dyDescent="0.2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212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  <c r="AA662" s="212"/>
      <c r="AB662" s="9"/>
      <c r="AC662" s="9"/>
      <c r="AD662" s="9"/>
      <c r="AE662" s="9"/>
      <c r="AF662" s="9"/>
      <c r="AG662" s="9"/>
      <c r="AH662" s="9"/>
      <c r="AI662" s="9"/>
      <c r="AJ662" s="9"/>
      <c r="AK662" s="9"/>
      <c r="AL662" s="9"/>
      <c r="AM662" s="9"/>
      <c r="AN662" s="9"/>
      <c r="AO662" s="9"/>
      <c r="AP662" s="9"/>
      <c r="AQ662" s="9"/>
      <c r="AR662" s="9"/>
      <c r="AS662" s="9"/>
      <c r="AT662" s="9"/>
      <c r="AU662" s="9"/>
      <c r="AV662" s="9"/>
      <c r="AW662" s="9"/>
      <c r="AX662" s="9"/>
    </row>
    <row r="663" spans="1:50" ht="15.75" customHeight="1" x14ac:dyDescent="0.2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212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  <c r="AA663" s="212"/>
      <c r="AB663" s="9"/>
      <c r="AC663" s="9"/>
      <c r="AD663" s="9"/>
      <c r="AE663" s="9"/>
      <c r="AF663" s="9"/>
      <c r="AG663" s="9"/>
      <c r="AH663" s="9"/>
      <c r="AI663" s="9"/>
      <c r="AJ663" s="9"/>
      <c r="AK663" s="9"/>
      <c r="AL663" s="9"/>
      <c r="AM663" s="9"/>
      <c r="AN663" s="9"/>
      <c r="AO663" s="9"/>
      <c r="AP663" s="9"/>
      <c r="AQ663" s="9"/>
      <c r="AR663" s="9"/>
      <c r="AS663" s="9"/>
      <c r="AT663" s="9"/>
      <c r="AU663" s="9"/>
      <c r="AV663" s="9"/>
      <c r="AW663" s="9"/>
      <c r="AX663" s="9"/>
    </row>
    <row r="664" spans="1:50" ht="15.75" customHeight="1" x14ac:dyDescent="0.2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212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  <c r="AA664" s="212"/>
      <c r="AB664" s="9"/>
      <c r="AC664" s="9"/>
      <c r="AD664" s="9"/>
      <c r="AE664" s="9"/>
      <c r="AF664" s="9"/>
      <c r="AG664" s="9"/>
      <c r="AH664" s="9"/>
      <c r="AI664" s="9"/>
      <c r="AJ664" s="9"/>
      <c r="AK664" s="9"/>
      <c r="AL664" s="9"/>
      <c r="AM664" s="9"/>
      <c r="AN664" s="9"/>
      <c r="AO664" s="9"/>
      <c r="AP664" s="9"/>
      <c r="AQ664" s="9"/>
      <c r="AR664" s="9"/>
      <c r="AS664" s="9"/>
      <c r="AT664" s="9"/>
      <c r="AU664" s="9"/>
      <c r="AV664" s="9"/>
      <c r="AW664" s="9"/>
      <c r="AX664" s="9"/>
    </row>
    <row r="665" spans="1:50" ht="15.75" customHeight="1" x14ac:dyDescent="0.2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212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  <c r="AA665" s="212"/>
      <c r="AB665" s="9"/>
      <c r="AC665" s="9"/>
      <c r="AD665" s="9"/>
      <c r="AE665" s="9"/>
      <c r="AF665" s="9"/>
      <c r="AG665" s="9"/>
      <c r="AH665" s="9"/>
      <c r="AI665" s="9"/>
      <c r="AJ665" s="9"/>
      <c r="AK665" s="9"/>
      <c r="AL665" s="9"/>
      <c r="AM665" s="9"/>
      <c r="AN665" s="9"/>
      <c r="AO665" s="9"/>
      <c r="AP665" s="9"/>
      <c r="AQ665" s="9"/>
      <c r="AR665" s="9"/>
      <c r="AS665" s="9"/>
      <c r="AT665" s="9"/>
      <c r="AU665" s="9"/>
      <c r="AV665" s="9"/>
      <c r="AW665" s="9"/>
      <c r="AX665" s="9"/>
    </row>
    <row r="666" spans="1:50" ht="15.75" customHeight="1" x14ac:dyDescent="0.2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212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  <c r="AA666" s="212"/>
      <c r="AB666" s="9"/>
      <c r="AC666" s="9"/>
      <c r="AD666" s="9"/>
      <c r="AE666" s="9"/>
      <c r="AF666" s="9"/>
      <c r="AG666" s="9"/>
      <c r="AH666" s="9"/>
      <c r="AI666" s="9"/>
      <c r="AJ666" s="9"/>
      <c r="AK666" s="9"/>
      <c r="AL666" s="9"/>
      <c r="AM666" s="9"/>
      <c r="AN666" s="9"/>
      <c r="AO666" s="9"/>
      <c r="AP666" s="9"/>
      <c r="AQ666" s="9"/>
      <c r="AR666" s="9"/>
      <c r="AS666" s="9"/>
      <c r="AT666" s="9"/>
      <c r="AU666" s="9"/>
      <c r="AV666" s="9"/>
      <c r="AW666" s="9"/>
      <c r="AX666" s="9"/>
    </row>
    <row r="667" spans="1:50" ht="15.75" customHeight="1" x14ac:dyDescent="0.2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212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  <c r="AA667" s="212"/>
      <c r="AB667" s="9"/>
      <c r="AC667" s="9"/>
      <c r="AD667" s="9"/>
      <c r="AE667" s="9"/>
      <c r="AF667" s="9"/>
      <c r="AG667" s="9"/>
      <c r="AH667" s="9"/>
      <c r="AI667" s="9"/>
      <c r="AJ667" s="9"/>
      <c r="AK667" s="9"/>
      <c r="AL667" s="9"/>
      <c r="AM667" s="9"/>
      <c r="AN667" s="9"/>
      <c r="AO667" s="9"/>
      <c r="AP667" s="9"/>
      <c r="AQ667" s="9"/>
      <c r="AR667" s="9"/>
      <c r="AS667" s="9"/>
      <c r="AT667" s="9"/>
      <c r="AU667" s="9"/>
      <c r="AV667" s="9"/>
      <c r="AW667" s="9"/>
      <c r="AX667" s="9"/>
    </row>
    <row r="668" spans="1:50" ht="15.75" customHeight="1" x14ac:dyDescent="0.2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212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  <c r="AA668" s="212"/>
      <c r="AB668" s="9"/>
      <c r="AC668" s="9"/>
      <c r="AD668" s="9"/>
      <c r="AE668" s="9"/>
      <c r="AF668" s="9"/>
      <c r="AG668" s="9"/>
      <c r="AH668" s="9"/>
      <c r="AI668" s="9"/>
      <c r="AJ668" s="9"/>
      <c r="AK668" s="9"/>
      <c r="AL668" s="9"/>
      <c r="AM668" s="9"/>
      <c r="AN668" s="9"/>
      <c r="AO668" s="9"/>
      <c r="AP668" s="9"/>
      <c r="AQ668" s="9"/>
      <c r="AR668" s="9"/>
      <c r="AS668" s="9"/>
      <c r="AT668" s="9"/>
      <c r="AU668" s="9"/>
      <c r="AV668" s="9"/>
      <c r="AW668" s="9"/>
      <c r="AX668" s="9"/>
    </row>
    <row r="669" spans="1:50" ht="15.75" customHeight="1" x14ac:dyDescent="0.2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212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  <c r="AA669" s="212"/>
      <c r="AB669" s="9"/>
      <c r="AC669" s="9"/>
      <c r="AD669" s="9"/>
      <c r="AE669" s="9"/>
      <c r="AF669" s="9"/>
      <c r="AG669" s="9"/>
      <c r="AH669" s="9"/>
      <c r="AI669" s="9"/>
      <c r="AJ669" s="9"/>
      <c r="AK669" s="9"/>
      <c r="AL669" s="9"/>
      <c r="AM669" s="9"/>
      <c r="AN669" s="9"/>
      <c r="AO669" s="9"/>
      <c r="AP669" s="9"/>
      <c r="AQ669" s="9"/>
      <c r="AR669" s="9"/>
      <c r="AS669" s="9"/>
      <c r="AT669" s="9"/>
      <c r="AU669" s="9"/>
      <c r="AV669" s="9"/>
      <c r="AW669" s="9"/>
      <c r="AX669" s="9"/>
    </row>
    <row r="670" spans="1:50" ht="15.75" customHeight="1" x14ac:dyDescent="0.2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212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  <c r="AA670" s="212"/>
      <c r="AB670" s="9"/>
      <c r="AC670" s="9"/>
      <c r="AD670" s="9"/>
      <c r="AE670" s="9"/>
      <c r="AF670" s="9"/>
      <c r="AG670" s="9"/>
      <c r="AH670" s="9"/>
      <c r="AI670" s="9"/>
      <c r="AJ670" s="9"/>
      <c r="AK670" s="9"/>
      <c r="AL670" s="9"/>
      <c r="AM670" s="9"/>
      <c r="AN670" s="9"/>
      <c r="AO670" s="9"/>
      <c r="AP670" s="9"/>
      <c r="AQ670" s="9"/>
      <c r="AR670" s="9"/>
      <c r="AS670" s="9"/>
      <c r="AT670" s="9"/>
      <c r="AU670" s="9"/>
      <c r="AV670" s="9"/>
      <c r="AW670" s="9"/>
      <c r="AX670" s="9"/>
    </row>
    <row r="671" spans="1:50" ht="15.75" customHeight="1" x14ac:dyDescent="0.2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212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  <c r="AA671" s="212"/>
      <c r="AB671" s="9"/>
      <c r="AC671" s="9"/>
      <c r="AD671" s="9"/>
      <c r="AE671" s="9"/>
      <c r="AF671" s="9"/>
      <c r="AG671" s="9"/>
      <c r="AH671" s="9"/>
      <c r="AI671" s="9"/>
      <c r="AJ671" s="9"/>
      <c r="AK671" s="9"/>
      <c r="AL671" s="9"/>
      <c r="AM671" s="9"/>
      <c r="AN671" s="9"/>
      <c r="AO671" s="9"/>
      <c r="AP671" s="9"/>
      <c r="AQ671" s="9"/>
      <c r="AR671" s="9"/>
      <c r="AS671" s="9"/>
      <c r="AT671" s="9"/>
      <c r="AU671" s="9"/>
      <c r="AV671" s="9"/>
      <c r="AW671" s="9"/>
      <c r="AX671" s="9"/>
    </row>
    <row r="672" spans="1:50" ht="15.75" customHeight="1" x14ac:dyDescent="0.2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212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  <c r="AA672" s="212"/>
      <c r="AB672" s="9"/>
      <c r="AC672" s="9"/>
      <c r="AD672" s="9"/>
      <c r="AE672" s="9"/>
      <c r="AF672" s="9"/>
      <c r="AG672" s="9"/>
      <c r="AH672" s="9"/>
      <c r="AI672" s="9"/>
      <c r="AJ672" s="9"/>
      <c r="AK672" s="9"/>
      <c r="AL672" s="9"/>
      <c r="AM672" s="9"/>
      <c r="AN672" s="9"/>
      <c r="AO672" s="9"/>
      <c r="AP672" s="9"/>
      <c r="AQ672" s="9"/>
      <c r="AR672" s="9"/>
      <c r="AS672" s="9"/>
      <c r="AT672" s="9"/>
      <c r="AU672" s="9"/>
      <c r="AV672" s="9"/>
      <c r="AW672" s="9"/>
      <c r="AX672" s="9"/>
    </row>
    <row r="673" spans="1:50" ht="15.75" customHeight="1" x14ac:dyDescent="0.2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212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  <c r="AA673" s="212"/>
      <c r="AB673" s="9"/>
      <c r="AC673" s="9"/>
      <c r="AD673" s="9"/>
      <c r="AE673" s="9"/>
      <c r="AF673" s="9"/>
      <c r="AG673" s="9"/>
      <c r="AH673" s="9"/>
      <c r="AI673" s="9"/>
      <c r="AJ673" s="9"/>
      <c r="AK673" s="9"/>
      <c r="AL673" s="9"/>
      <c r="AM673" s="9"/>
      <c r="AN673" s="9"/>
      <c r="AO673" s="9"/>
      <c r="AP673" s="9"/>
      <c r="AQ673" s="9"/>
      <c r="AR673" s="9"/>
      <c r="AS673" s="9"/>
      <c r="AT673" s="9"/>
      <c r="AU673" s="9"/>
      <c r="AV673" s="9"/>
      <c r="AW673" s="9"/>
      <c r="AX673" s="9"/>
    </row>
    <row r="674" spans="1:50" ht="15.75" customHeight="1" x14ac:dyDescent="0.2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212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  <c r="AA674" s="212"/>
      <c r="AB674" s="9"/>
      <c r="AC674" s="9"/>
      <c r="AD674" s="9"/>
      <c r="AE674" s="9"/>
      <c r="AF674" s="9"/>
      <c r="AG674" s="9"/>
      <c r="AH674" s="9"/>
      <c r="AI674" s="9"/>
      <c r="AJ674" s="9"/>
      <c r="AK674" s="9"/>
      <c r="AL674" s="9"/>
      <c r="AM674" s="9"/>
      <c r="AN674" s="9"/>
      <c r="AO674" s="9"/>
      <c r="AP674" s="9"/>
      <c r="AQ674" s="9"/>
      <c r="AR674" s="9"/>
      <c r="AS674" s="9"/>
      <c r="AT674" s="9"/>
      <c r="AU674" s="9"/>
      <c r="AV674" s="9"/>
      <c r="AW674" s="9"/>
      <c r="AX674" s="9"/>
    </row>
    <row r="675" spans="1:50" ht="15.75" customHeight="1" x14ac:dyDescent="0.2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212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  <c r="AA675" s="212"/>
      <c r="AB675" s="9"/>
      <c r="AC675" s="9"/>
      <c r="AD675" s="9"/>
      <c r="AE675" s="9"/>
      <c r="AF675" s="9"/>
      <c r="AG675" s="9"/>
      <c r="AH675" s="9"/>
      <c r="AI675" s="9"/>
      <c r="AJ675" s="9"/>
      <c r="AK675" s="9"/>
      <c r="AL675" s="9"/>
      <c r="AM675" s="9"/>
      <c r="AN675" s="9"/>
      <c r="AO675" s="9"/>
      <c r="AP675" s="9"/>
      <c r="AQ675" s="9"/>
      <c r="AR675" s="9"/>
      <c r="AS675" s="9"/>
      <c r="AT675" s="9"/>
      <c r="AU675" s="9"/>
      <c r="AV675" s="9"/>
      <c r="AW675" s="9"/>
      <c r="AX675" s="9"/>
    </row>
    <row r="676" spans="1:50" ht="15.75" customHeight="1" x14ac:dyDescent="0.2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212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  <c r="AA676" s="212"/>
      <c r="AB676" s="9"/>
      <c r="AC676" s="9"/>
      <c r="AD676" s="9"/>
      <c r="AE676" s="9"/>
      <c r="AF676" s="9"/>
      <c r="AG676" s="9"/>
      <c r="AH676" s="9"/>
      <c r="AI676" s="9"/>
      <c r="AJ676" s="9"/>
      <c r="AK676" s="9"/>
      <c r="AL676" s="9"/>
      <c r="AM676" s="9"/>
      <c r="AN676" s="9"/>
      <c r="AO676" s="9"/>
      <c r="AP676" s="9"/>
      <c r="AQ676" s="9"/>
      <c r="AR676" s="9"/>
      <c r="AS676" s="9"/>
      <c r="AT676" s="9"/>
      <c r="AU676" s="9"/>
      <c r="AV676" s="9"/>
      <c r="AW676" s="9"/>
      <c r="AX676" s="9"/>
    </row>
    <row r="677" spans="1:50" ht="15.75" customHeight="1" x14ac:dyDescent="0.2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212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  <c r="AA677" s="212"/>
      <c r="AB677" s="9"/>
      <c r="AC677" s="9"/>
      <c r="AD677" s="9"/>
      <c r="AE677" s="9"/>
      <c r="AF677" s="9"/>
      <c r="AG677" s="9"/>
      <c r="AH677" s="9"/>
      <c r="AI677" s="9"/>
      <c r="AJ677" s="9"/>
      <c r="AK677" s="9"/>
      <c r="AL677" s="9"/>
      <c r="AM677" s="9"/>
      <c r="AN677" s="9"/>
      <c r="AO677" s="9"/>
      <c r="AP677" s="9"/>
      <c r="AQ677" s="9"/>
      <c r="AR677" s="9"/>
      <c r="AS677" s="9"/>
      <c r="AT677" s="9"/>
      <c r="AU677" s="9"/>
      <c r="AV677" s="9"/>
      <c r="AW677" s="9"/>
      <c r="AX677" s="9"/>
    </row>
    <row r="678" spans="1:50" ht="15.75" customHeight="1" x14ac:dyDescent="0.2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212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  <c r="AA678" s="212"/>
      <c r="AB678" s="9"/>
      <c r="AC678" s="9"/>
      <c r="AD678" s="9"/>
      <c r="AE678" s="9"/>
      <c r="AF678" s="9"/>
      <c r="AG678" s="9"/>
      <c r="AH678" s="9"/>
      <c r="AI678" s="9"/>
      <c r="AJ678" s="9"/>
      <c r="AK678" s="9"/>
      <c r="AL678" s="9"/>
      <c r="AM678" s="9"/>
      <c r="AN678" s="9"/>
      <c r="AO678" s="9"/>
      <c r="AP678" s="9"/>
      <c r="AQ678" s="9"/>
      <c r="AR678" s="9"/>
      <c r="AS678" s="9"/>
      <c r="AT678" s="9"/>
      <c r="AU678" s="9"/>
      <c r="AV678" s="9"/>
      <c r="AW678" s="9"/>
      <c r="AX678" s="9"/>
    </row>
    <row r="679" spans="1:50" ht="15.75" customHeight="1" x14ac:dyDescent="0.2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212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  <c r="AA679" s="212"/>
      <c r="AB679" s="9"/>
      <c r="AC679" s="9"/>
      <c r="AD679" s="9"/>
      <c r="AE679" s="9"/>
      <c r="AF679" s="9"/>
      <c r="AG679" s="9"/>
      <c r="AH679" s="9"/>
      <c r="AI679" s="9"/>
      <c r="AJ679" s="9"/>
      <c r="AK679" s="9"/>
      <c r="AL679" s="9"/>
      <c r="AM679" s="9"/>
      <c r="AN679" s="9"/>
      <c r="AO679" s="9"/>
      <c r="AP679" s="9"/>
      <c r="AQ679" s="9"/>
      <c r="AR679" s="9"/>
      <c r="AS679" s="9"/>
      <c r="AT679" s="9"/>
      <c r="AU679" s="9"/>
      <c r="AV679" s="9"/>
      <c r="AW679" s="9"/>
      <c r="AX679" s="9"/>
    </row>
    <row r="680" spans="1:50" ht="15.75" customHeight="1" x14ac:dyDescent="0.2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212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  <c r="AA680" s="212"/>
      <c r="AB680" s="9"/>
      <c r="AC680" s="9"/>
      <c r="AD680" s="9"/>
      <c r="AE680" s="9"/>
      <c r="AF680" s="9"/>
      <c r="AG680" s="9"/>
      <c r="AH680" s="9"/>
      <c r="AI680" s="9"/>
      <c r="AJ680" s="9"/>
      <c r="AK680" s="9"/>
      <c r="AL680" s="9"/>
      <c r="AM680" s="9"/>
      <c r="AN680" s="9"/>
      <c r="AO680" s="9"/>
      <c r="AP680" s="9"/>
      <c r="AQ680" s="9"/>
      <c r="AR680" s="9"/>
      <c r="AS680" s="9"/>
      <c r="AT680" s="9"/>
      <c r="AU680" s="9"/>
      <c r="AV680" s="9"/>
      <c r="AW680" s="9"/>
      <c r="AX680" s="9"/>
    </row>
    <row r="681" spans="1:50" ht="15.75" customHeight="1" x14ac:dyDescent="0.2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212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  <c r="AA681" s="212"/>
      <c r="AB681" s="9"/>
      <c r="AC681" s="9"/>
      <c r="AD681" s="9"/>
      <c r="AE681" s="9"/>
      <c r="AF681" s="9"/>
      <c r="AG681" s="9"/>
      <c r="AH681" s="9"/>
      <c r="AI681" s="9"/>
      <c r="AJ681" s="9"/>
      <c r="AK681" s="9"/>
      <c r="AL681" s="9"/>
      <c r="AM681" s="9"/>
      <c r="AN681" s="9"/>
      <c r="AO681" s="9"/>
      <c r="AP681" s="9"/>
      <c r="AQ681" s="9"/>
      <c r="AR681" s="9"/>
      <c r="AS681" s="9"/>
      <c r="AT681" s="9"/>
      <c r="AU681" s="9"/>
      <c r="AV681" s="9"/>
      <c r="AW681" s="9"/>
      <c r="AX681" s="9"/>
    </row>
    <row r="682" spans="1:50" ht="15.75" customHeight="1" x14ac:dyDescent="0.2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212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  <c r="AA682" s="212"/>
      <c r="AB682" s="9"/>
      <c r="AC682" s="9"/>
      <c r="AD682" s="9"/>
      <c r="AE682" s="9"/>
      <c r="AF682" s="9"/>
      <c r="AG682" s="9"/>
      <c r="AH682" s="9"/>
      <c r="AI682" s="9"/>
      <c r="AJ682" s="9"/>
      <c r="AK682" s="9"/>
      <c r="AL682" s="9"/>
      <c r="AM682" s="9"/>
      <c r="AN682" s="9"/>
      <c r="AO682" s="9"/>
      <c r="AP682" s="9"/>
      <c r="AQ682" s="9"/>
      <c r="AR682" s="9"/>
      <c r="AS682" s="9"/>
      <c r="AT682" s="9"/>
      <c r="AU682" s="9"/>
      <c r="AV682" s="9"/>
      <c r="AW682" s="9"/>
      <c r="AX682" s="9"/>
    </row>
    <row r="683" spans="1:50" ht="15.75" customHeight="1" x14ac:dyDescent="0.2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212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  <c r="AA683" s="212"/>
      <c r="AB683" s="9"/>
      <c r="AC683" s="9"/>
      <c r="AD683" s="9"/>
      <c r="AE683" s="9"/>
      <c r="AF683" s="9"/>
      <c r="AG683" s="9"/>
      <c r="AH683" s="9"/>
      <c r="AI683" s="9"/>
      <c r="AJ683" s="9"/>
      <c r="AK683" s="9"/>
      <c r="AL683" s="9"/>
      <c r="AM683" s="9"/>
      <c r="AN683" s="9"/>
      <c r="AO683" s="9"/>
      <c r="AP683" s="9"/>
      <c r="AQ683" s="9"/>
      <c r="AR683" s="9"/>
      <c r="AS683" s="9"/>
      <c r="AT683" s="9"/>
      <c r="AU683" s="9"/>
      <c r="AV683" s="9"/>
      <c r="AW683" s="9"/>
      <c r="AX683" s="9"/>
    </row>
    <row r="684" spans="1:50" ht="15.75" customHeight="1" x14ac:dyDescent="0.2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212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  <c r="AA684" s="212"/>
      <c r="AB684" s="9"/>
      <c r="AC684" s="9"/>
      <c r="AD684" s="9"/>
      <c r="AE684" s="9"/>
      <c r="AF684" s="9"/>
      <c r="AG684" s="9"/>
      <c r="AH684" s="9"/>
      <c r="AI684" s="9"/>
      <c r="AJ684" s="9"/>
      <c r="AK684" s="9"/>
      <c r="AL684" s="9"/>
      <c r="AM684" s="9"/>
      <c r="AN684" s="9"/>
      <c r="AO684" s="9"/>
      <c r="AP684" s="9"/>
      <c r="AQ684" s="9"/>
      <c r="AR684" s="9"/>
      <c r="AS684" s="9"/>
      <c r="AT684" s="9"/>
      <c r="AU684" s="9"/>
      <c r="AV684" s="9"/>
      <c r="AW684" s="9"/>
      <c r="AX684" s="9"/>
    </row>
    <row r="685" spans="1:50" ht="15.75" customHeight="1" x14ac:dyDescent="0.2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212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  <c r="AA685" s="212"/>
      <c r="AB685" s="9"/>
      <c r="AC685" s="9"/>
      <c r="AD685" s="9"/>
      <c r="AE685" s="9"/>
      <c r="AF685" s="9"/>
      <c r="AG685" s="9"/>
      <c r="AH685" s="9"/>
      <c r="AI685" s="9"/>
      <c r="AJ685" s="9"/>
      <c r="AK685" s="9"/>
      <c r="AL685" s="9"/>
      <c r="AM685" s="9"/>
      <c r="AN685" s="9"/>
      <c r="AO685" s="9"/>
      <c r="AP685" s="9"/>
      <c r="AQ685" s="9"/>
      <c r="AR685" s="9"/>
      <c r="AS685" s="9"/>
      <c r="AT685" s="9"/>
      <c r="AU685" s="9"/>
      <c r="AV685" s="9"/>
      <c r="AW685" s="9"/>
      <c r="AX685" s="9"/>
    </row>
    <row r="686" spans="1:50" ht="15.75" customHeight="1" x14ac:dyDescent="0.2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212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  <c r="AA686" s="212"/>
      <c r="AB686" s="9"/>
      <c r="AC686" s="9"/>
      <c r="AD686" s="9"/>
      <c r="AE686" s="9"/>
      <c r="AF686" s="9"/>
      <c r="AG686" s="9"/>
      <c r="AH686" s="9"/>
      <c r="AI686" s="9"/>
      <c r="AJ686" s="9"/>
      <c r="AK686" s="9"/>
      <c r="AL686" s="9"/>
      <c r="AM686" s="9"/>
      <c r="AN686" s="9"/>
      <c r="AO686" s="9"/>
      <c r="AP686" s="9"/>
      <c r="AQ686" s="9"/>
      <c r="AR686" s="9"/>
      <c r="AS686" s="9"/>
      <c r="AT686" s="9"/>
      <c r="AU686" s="9"/>
      <c r="AV686" s="9"/>
      <c r="AW686" s="9"/>
      <c r="AX686" s="9"/>
    </row>
    <row r="687" spans="1:50" ht="15.75" customHeight="1" x14ac:dyDescent="0.2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212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  <c r="AA687" s="212"/>
      <c r="AB687" s="9"/>
      <c r="AC687" s="9"/>
      <c r="AD687" s="9"/>
      <c r="AE687" s="9"/>
      <c r="AF687" s="9"/>
      <c r="AG687" s="9"/>
      <c r="AH687" s="9"/>
      <c r="AI687" s="9"/>
      <c r="AJ687" s="9"/>
      <c r="AK687" s="9"/>
      <c r="AL687" s="9"/>
      <c r="AM687" s="9"/>
      <c r="AN687" s="9"/>
      <c r="AO687" s="9"/>
      <c r="AP687" s="9"/>
      <c r="AQ687" s="9"/>
      <c r="AR687" s="9"/>
      <c r="AS687" s="9"/>
      <c r="AT687" s="9"/>
      <c r="AU687" s="9"/>
      <c r="AV687" s="9"/>
      <c r="AW687" s="9"/>
      <c r="AX687" s="9"/>
    </row>
    <row r="688" spans="1:50" ht="15.75" customHeight="1" x14ac:dyDescent="0.2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212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  <c r="AA688" s="212"/>
      <c r="AB688" s="9"/>
      <c r="AC688" s="9"/>
      <c r="AD688" s="9"/>
      <c r="AE688" s="9"/>
      <c r="AF688" s="9"/>
      <c r="AG688" s="9"/>
      <c r="AH688" s="9"/>
      <c r="AI688" s="9"/>
      <c r="AJ688" s="9"/>
      <c r="AK688" s="9"/>
      <c r="AL688" s="9"/>
      <c r="AM688" s="9"/>
      <c r="AN688" s="9"/>
      <c r="AO688" s="9"/>
      <c r="AP688" s="9"/>
      <c r="AQ688" s="9"/>
      <c r="AR688" s="9"/>
      <c r="AS688" s="9"/>
      <c r="AT688" s="9"/>
      <c r="AU688" s="9"/>
      <c r="AV688" s="9"/>
      <c r="AW688" s="9"/>
      <c r="AX688" s="9"/>
    </row>
    <row r="689" spans="1:50" ht="15.75" customHeight="1" x14ac:dyDescent="0.2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212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  <c r="AA689" s="212"/>
      <c r="AB689" s="9"/>
      <c r="AC689" s="9"/>
      <c r="AD689" s="9"/>
      <c r="AE689" s="9"/>
      <c r="AF689" s="9"/>
      <c r="AG689" s="9"/>
      <c r="AH689" s="9"/>
      <c r="AI689" s="9"/>
      <c r="AJ689" s="9"/>
      <c r="AK689" s="9"/>
      <c r="AL689" s="9"/>
      <c r="AM689" s="9"/>
      <c r="AN689" s="9"/>
      <c r="AO689" s="9"/>
      <c r="AP689" s="9"/>
      <c r="AQ689" s="9"/>
      <c r="AR689" s="9"/>
      <c r="AS689" s="9"/>
      <c r="AT689" s="9"/>
      <c r="AU689" s="9"/>
      <c r="AV689" s="9"/>
      <c r="AW689" s="9"/>
      <c r="AX689" s="9"/>
    </row>
    <row r="690" spans="1:50" ht="15.75" customHeight="1" x14ac:dyDescent="0.2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212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  <c r="AA690" s="212"/>
      <c r="AB690" s="9"/>
      <c r="AC690" s="9"/>
      <c r="AD690" s="9"/>
      <c r="AE690" s="9"/>
      <c r="AF690" s="9"/>
      <c r="AG690" s="9"/>
      <c r="AH690" s="9"/>
      <c r="AI690" s="9"/>
      <c r="AJ690" s="9"/>
      <c r="AK690" s="9"/>
      <c r="AL690" s="9"/>
      <c r="AM690" s="9"/>
      <c r="AN690" s="9"/>
      <c r="AO690" s="9"/>
      <c r="AP690" s="9"/>
      <c r="AQ690" s="9"/>
      <c r="AR690" s="9"/>
      <c r="AS690" s="9"/>
      <c r="AT690" s="9"/>
      <c r="AU690" s="9"/>
      <c r="AV690" s="9"/>
      <c r="AW690" s="9"/>
      <c r="AX690" s="9"/>
    </row>
    <row r="691" spans="1:50" ht="15.75" customHeight="1" x14ac:dyDescent="0.2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212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  <c r="AA691" s="212"/>
      <c r="AB691" s="9"/>
      <c r="AC691" s="9"/>
      <c r="AD691" s="9"/>
      <c r="AE691" s="9"/>
      <c r="AF691" s="9"/>
      <c r="AG691" s="9"/>
      <c r="AH691" s="9"/>
      <c r="AI691" s="9"/>
      <c r="AJ691" s="9"/>
      <c r="AK691" s="9"/>
      <c r="AL691" s="9"/>
      <c r="AM691" s="9"/>
      <c r="AN691" s="9"/>
      <c r="AO691" s="9"/>
      <c r="AP691" s="9"/>
      <c r="AQ691" s="9"/>
      <c r="AR691" s="9"/>
      <c r="AS691" s="9"/>
      <c r="AT691" s="9"/>
      <c r="AU691" s="9"/>
      <c r="AV691" s="9"/>
      <c r="AW691" s="9"/>
      <c r="AX691" s="9"/>
    </row>
    <row r="692" spans="1:50" ht="15.75" customHeight="1" x14ac:dyDescent="0.2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212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  <c r="AA692" s="212"/>
      <c r="AB692" s="9"/>
      <c r="AC692" s="9"/>
      <c r="AD692" s="9"/>
      <c r="AE692" s="9"/>
      <c r="AF692" s="9"/>
      <c r="AG692" s="9"/>
      <c r="AH692" s="9"/>
      <c r="AI692" s="9"/>
      <c r="AJ692" s="9"/>
      <c r="AK692" s="9"/>
      <c r="AL692" s="9"/>
      <c r="AM692" s="9"/>
      <c r="AN692" s="9"/>
      <c r="AO692" s="9"/>
      <c r="AP692" s="9"/>
      <c r="AQ692" s="9"/>
      <c r="AR692" s="9"/>
      <c r="AS692" s="9"/>
      <c r="AT692" s="9"/>
      <c r="AU692" s="9"/>
      <c r="AV692" s="9"/>
      <c r="AW692" s="9"/>
      <c r="AX692" s="9"/>
    </row>
    <row r="693" spans="1:50" ht="15.75" customHeight="1" x14ac:dyDescent="0.2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212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  <c r="AA693" s="212"/>
      <c r="AB693" s="9"/>
      <c r="AC693" s="9"/>
      <c r="AD693" s="9"/>
      <c r="AE693" s="9"/>
      <c r="AF693" s="9"/>
      <c r="AG693" s="9"/>
      <c r="AH693" s="9"/>
      <c r="AI693" s="9"/>
      <c r="AJ693" s="9"/>
      <c r="AK693" s="9"/>
      <c r="AL693" s="9"/>
      <c r="AM693" s="9"/>
      <c r="AN693" s="9"/>
      <c r="AO693" s="9"/>
      <c r="AP693" s="9"/>
      <c r="AQ693" s="9"/>
      <c r="AR693" s="9"/>
      <c r="AS693" s="9"/>
      <c r="AT693" s="9"/>
      <c r="AU693" s="9"/>
      <c r="AV693" s="9"/>
      <c r="AW693" s="9"/>
      <c r="AX693" s="9"/>
    </row>
    <row r="694" spans="1:50" ht="15.75" customHeight="1" x14ac:dyDescent="0.2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212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  <c r="AA694" s="212"/>
      <c r="AB694" s="9"/>
      <c r="AC694" s="9"/>
      <c r="AD694" s="9"/>
      <c r="AE694" s="9"/>
      <c r="AF694" s="9"/>
      <c r="AG694" s="9"/>
      <c r="AH694" s="9"/>
      <c r="AI694" s="9"/>
      <c r="AJ694" s="9"/>
      <c r="AK694" s="9"/>
      <c r="AL694" s="9"/>
      <c r="AM694" s="9"/>
      <c r="AN694" s="9"/>
      <c r="AO694" s="9"/>
      <c r="AP694" s="9"/>
      <c r="AQ694" s="9"/>
      <c r="AR694" s="9"/>
      <c r="AS694" s="9"/>
      <c r="AT694" s="9"/>
      <c r="AU694" s="9"/>
      <c r="AV694" s="9"/>
      <c r="AW694" s="9"/>
      <c r="AX694" s="9"/>
    </row>
    <row r="695" spans="1:50" ht="15.75" customHeight="1" x14ac:dyDescent="0.2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212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  <c r="AA695" s="212"/>
      <c r="AB695" s="9"/>
      <c r="AC695" s="9"/>
      <c r="AD695" s="9"/>
      <c r="AE695" s="9"/>
      <c r="AF695" s="9"/>
      <c r="AG695" s="9"/>
      <c r="AH695" s="9"/>
      <c r="AI695" s="9"/>
      <c r="AJ695" s="9"/>
      <c r="AK695" s="9"/>
      <c r="AL695" s="9"/>
      <c r="AM695" s="9"/>
      <c r="AN695" s="9"/>
      <c r="AO695" s="9"/>
      <c r="AP695" s="9"/>
      <c r="AQ695" s="9"/>
      <c r="AR695" s="9"/>
      <c r="AS695" s="9"/>
      <c r="AT695" s="9"/>
      <c r="AU695" s="9"/>
      <c r="AV695" s="9"/>
      <c r="AW695" s="9"/>
      <c r="AX695" s="9"/>
    </row>
    <row r="696" spans="1:50" ht="15.75" customHeight="1" x14ac:dyDescent="0.2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212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  <c r="AA696" s="212"/>
      <c r="AB696" s="9"/>
      <c r="AC696" s="9"/>
      <c r="AD696" s="9"/>
      <c r="AE696" s="9"/>
      <c r="AF696" s="9"/>
      <c r="AG696" s="9"/>
      <c r="AH696" s="9"/>
      <c r="AI696" s="9"/>
      <c r="AJ696" s="9"/>
      <c r="AK696" s="9"/>
      <c r="AL696" s="9"/>
      <c r="AM696" s="9"/>
      <c r="AN696" s="9"/>
      <c r="AO696" s="9"/>
      <c r="AP696" s="9"/>
      <c r="AQ696" s="9"/>
      <c r="AR696" s="9"/>
      <c r="AS696" s="9"/>
      <c r="AT696" s="9"/>
      <c r="AU696" s="9"/>
      <c r="AV696" s="9"/>
      <c r="AW696" s="9"/>
      <c r="AX696" s="9"/>
    </row>
    <row r="697" spans="1:50" ht="15.75" customHeight="1" x14ac:dyDescent="0.2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212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  <c r="AA697" s="212"/>
      <c r="AB697" s="9"/>
      <c r="AC697" s="9"/>
      <c r="AD697" s="9"/>
      <c r="AE697" s="9"/>
      <c r="AF697" s="9"/>
      <c r="AG697" s="9"/>
      <c r="AH697" s="9"/>
      <c r="AI697" s="9"/>
      <c r="AJ697" s="9"/>
      <c r="AK697" s="9"/>
      <c r="AL697" s="9"/>
      <c r="AM697" s="9"/>
      <c r="AN697" s="9"/>
      <c r="AO697" s="9"/>
      <c r="AP697" s="9"/>
      <c r="AQ697" s="9"/>
      <c r="AR697" s="9"/>
      <c r="AS697" s="9"/>
      <c r="AT697" s="9"/>
      <c r="AU697" s="9"/>
      <c r="AV697" s="9"/>
      <c r="AW697" s="9"/>
      <c r="AX697" s="9"/>
    </row>
    <row r="698" spans="1:50" ht="15.75" customHeight="1" x14ac:dyDescent="0.2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212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  <c r="AA698" s="212"/>
      <c r="AB698" s="9"/>
      <c r="AC698" s="9"/>
      <c r="AD698" s="9"/>
      <c r="AE698" s="9"/>
      <c r="AF698" s="9"/>
      <c r="AG698" s="9"/>
      <c r="AH698" s="9"/>
      <c r="AI698" s="9"/>
      <c r="AJ698" s="9"/>
      <c r="AK698" s="9"/>
      <c r="AL698" s="9"/>
      <c r="AM698" s="9"/>
      <c r="AN698" s="9"/>
      <c r="AO698" s="9"/>
      <c r="AP698" s="9"/>
      <c r="AQ698" s="9"/>
      <c r="AR698" s="9"/>
      <c r="AS698" s="9"/>
      <c r="AT698" s="9"/>
      <c r="AU698" s="9"/>
      <c r="AV698" s="9"/>
      <c r="AW698" s="9"/>
      <c r="AX698" s="9"/>
    </row>
    <row r="699" spans="1:50" ht="15.75" customHeight="1" x14ac:dyDescent="0.2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212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  <c r="AA699" s="212"/>
      <c r="AB699" s="9"/>
      <c r="AC699" s="9"/>
      <c r="AD699" s="9"/>
      <c r="AE699" s="9"/>
      <c r="AF699" s="9"/>
      <c r="AG699" s="9"/>
      <c r="AH699" s="9"/>
      <c r="AI699" s="9"/>
      <c r="AJ699" s="9"/>
      <c r="AK699" s="9"/>
      <c r="AL699" s="9"/>
      <c r="AM699" s="9"/>
      <c r="AN699" s="9"/>
      <c r="AO699" s="9"/>
      <c r="AP699" s="9"/>
      <c r="AQ699" s="9"/>
      <c r="AR699" s="9"/>
      <c r="AS699" s="9"/>
      <c r="AT699" s="9"/>
      <c r="AU699" s="9"/>
      <c r="AV699" s="9"/>
      <c r="AW699" s="9"/>
      <c r="AX699" s="9"/>
    </row>
    <row r="700" spans="1:50" ht="15.75" customHeight="1" x14ac:dyDescent="0.2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212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  <c r="AA700" s="212"/>
      <c r="AB700" s="9"/>
      <c r="AC700" s="9"/>
      <c r="AD700" s="9"/>
      <c r="AE700" s="9"/>
      <c r="AF700" s="9"/>
      <c r="AG700" s="9"/>
      <c r="AH700" s="9"/>
      <c r="AI700" s="9"/>
      <c r="AJ700" s="9"/>
      <c r="AK700" s="9"/>
      <c r="AL700" s="9"/>
      <c r="AM700" s="9"/>
      <c r="AN700" s="9"/>
      <c r="AO700" s="9"/>
      <c r="AP700" s="9"/>
      <c r="AQ700" s="9"/>
      <c r="AR700" s="9"/>
      <c r="AS700" s="9"/>
      <c r="AT700" s="9"/>
      <c r="AU700" s="9"/>
      <c r="AV700" s="9"/>
      <c r="AW700" s="9"/>
      <c r="AX700" s="9"/>
    </row>
    <row r="701" spans="1:50" ht="15.75" customHeight="1" x14ac:dyDescent="0.2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212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  <c r="AA701" s="212"/>
      <c r="AB701" s="9"/>
      <c r="AC701" s="9"/>
      <c r="AD701" s="9"/>
      <c r="AE701" s="9"/>
      <c r="AF701" s="9"/>
      <c r="AG701" s="9"/>
      <c r="AH701" s="9"/>
      <c r="AI701" s="9"/>
      <c r="AJ701" s="9"/>
      <c r="AK701" s="9"/>
      <c r="AL701" s="9"/>
      <c r="AM701" s="9"/>
      <c r="AN701" s="9"/>
      <c r="AO701" s="9"/>
      <c r="AP701" s="9"/>
      <c r="AQ701" s="9"/>
      <c r="AR701" s="9"/>
      <c r="AS701" s="9"/>
      <c r="AT701" s="9"/>
      <c r="AU701" s="9"/>
      <c r="AV701" s="9"/>
      <c r="AW701" s="9"/>
      <c r="AX701" s="9"/>
    </row>
    <row r="702" spans="1:50" ht="15.75" customHeight="1" x14ac:dyDescent="0.2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212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  <c r="AA702" s="212"/>
      <c r="AB702" s="9"/>
      <c r="AC702" s="9"/>
      <c r="AD702" s="9"/>
      <c r="AE702" s="9"/>
      <c r="AF702" s="9"/>
      <c r="AG702" s="9"/>
      <c r="AH702" s="9"/>
      <c r="AI702" s="9"/>
      <c r="AJ702" s="9"/>
      <c r="AK702" s="9"/>
      <c r="AL702" s="9"/>
      <c r="AM702" s="9"/>
      <c r="AN702" s="9"/>
      <c r="AO702" s="9"/>
      <c r="AP702" s="9"/>
      <c r="AQ702" s="9"/>
      <c r="AR702" s="9"/>
      <c r="AS702" s="9"/>
      <c r="AT702" s="9"/>
      <c r="AU702" s="9"/>
      <c r="AV702" s="9"/>
      <c r="AW702" s="9"/>
      <c r="AX702" s="9"/>
    </row>
    <row r="703" spans="1:50" ht="15.75" customHeight="1" x14ac:dyDescent="0.2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212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  <c r="AA703" s="212"/>
      <c r="AB703" s="9"/>
      <c r="AC703" s="9"/>
      <c r="AD703" s="9"/>
      <c r="AE703" s="9"/>
      <c r="AF703" s="9"/>
      <c r="AG703" s="9"/>
      <c r="AH703" s="9"/>
      <c r="AI703" s="9"/>
      <c r="AJ703" s="9"/>
      <c r="AK703" s="9"/>
      <c r="AL703" s="9"/>
      <c r="AM703" s="9"/>
      <c r="AN703" s="9"/>
      <c r="AO703" s="9"/>
      <c r="AP703" s="9"/>
      <c r="AQ703" s="9"/>
      <c r="AR703" s="9"/>
      <c r="AS703" s="9"/>
      <c r="AT703" s="9"/>
      <c r="AU703" s="9"/>
      <c r="AV703" s="9"/>
      <c r="AW703" s="9"/>
      <c r="AX703" s="9"/>
    </row>
    <row r="704" spans="1:50" ht="15.75" customHeight="1" x14ac:dyDescent="0.2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212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  <c r="AA704" s="212"/>
      <c r="AB704" s="9"/>
      <c r="AC704" s="9"/>
      <c r="AD704" s="9"/>
      <c r="AE704" s="9"/>
      <c r="AF704" s="9"/>
      <c r="AG704" s="9"/>
      <c r="AH704" s="9"/>
      <c r="AI704" s="9"/>
      <c r="AJ704" s="9"/>
      <c r="AK704" s="9"/>
      <c r="AL704" s="9"/>
      <c r="AM704" s="9"/>
      <c r="AN704" s="9"/>
      <c r="AO704" s="9"/>
      <c r="AP704" s="9"/>
      <c r="AQ704" s="9"/>
      <c r="AR704" s="9"/>
      <c r="AS704" s="9"/>
      <c r="AT704" s="9"/>
      <c r="AU704" s="9"/>
      <c r="AV704" s="9"/>
      <c r="AW704" s="9"/>
      <c r="AX704" s="9"/>
    </row>
    <row r="705" spans="1:50" ht="15.75" customHeight="1" x14ac:dyDescent="0.2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212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  <c r="AA705" s="212"/>
      <c r="AB705" s="9"/>
      <c r="AC705" s="9"/>
      <c r="AD705" s="9"/>
      <c r="AE705" s="9"/>
      <c r="AF705" s="9"/>
      <c r="AG705" s="9"/>
      <c r="AH705" s="9"/>
      <c r="AI705" s="9"/>
      <c r="AJ705" s="9"/>
      <c r="AK705" s="9"/>
      <c r="AL705" s="9"/>
      <c r="AM705" s="9"/>
      <c r="AN705" s="9"/>
      <c r="AO705" s="9"/>
      <c r="AP705" s="9"/>
      <c r="AQ705" s="9"/>
      <c r="AR705" s="9"/>
      <c r="AS705" s="9"/>
      <c r="AT705" s="9"/>
      <c r="AU705" s="9"/>
      <c r="AV705" s="9"/>
      <c r="AW705" s="9"/>
      <c r="AX705" s="9"/>
    </row>
    <row r="706" spans="1:50" ht="15.75" customHeight="1" x14ac:dyDescent="0.2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212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  <c r="AA706" s="212"/>
      <c r="AB706" s="9"/>
      <c r="AC706" s="9"/>
      <c r="AD706" s="9"/>
      <c r="AE706" s="9"/>
      <c r="AF706" s="9"/>
      <c r="AG706" s="9"/>
      <c r="AH706" s="9"/>
      <c r="AI706" s="9"/>
      <c r="AJ706" s="9"/>
      <c r="AK706" s="9"/>
      <c r="AL706" s="9"/>
      <c r="AM706" s="9"/>
      <c r="AN706" s="9"/>
      <c r="AO706" s="9"/>
      <c r="AP706" s="9"/>
      <c r="AQ706" s="9"/>
      <c r="AR706" s="9"/>
      <c r="AS706" s="9"/>
      <c r="AT706" s="9"/>
      <c r="AU706" s="9"/>
      <c r="AV706" s="9"/>
      <c r="AW706" s="9"/>
      <c r="AX706" s="9"/>
    </row>
    <row r="707" spans="1:50" ht="15.75" customHeight="1" x14ac:dyDescent="0.2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212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  <c r="AA707" s="212"/>
      <c r="AB707" s="9"/>
      <c r="AC707" s="9"/>
      <c r="AD707" s="9"/>
      <c r="AE707" s="9"/>
      <c r="AF707" s="9"/>
      <c r="AG707" s="9"/>
      <c r="AH707" s="9"/>
      <c r="AI707" s="9"/>
      <c r="AJ707" s="9"/>
      <c r="AK707" s="9"/>
      <c r="AL707" s="9"/>
      <c r="AM707" s="9"/>
      <c r="AN707" s="9"/>
      <c r="AO707" s="9"/>
      <c r="AP707" s="9"/>
      <c r="AQ707" s="9"/>
      <c r="AR707" s="9"/>
      <c r="AS707" s="9"/>
      <c r="AT707" s="9"/>
      <c r="AU707" s="9"/>
      <c r="AV707" s="9"/>
      <c r="AW707" s="9"/>
      <c r="AX707" s="9"/>
    </row>
    <row r="708" spans="1:50" ht="15.75" customHeight="1" x14ac:dyDescent="0.2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212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  <c r="AA708" s="212"/>
      <c r="AB708" s="9"/>
      <c r="AC708" s="9"/>
      <c r="AD708" s="9"/>
      <c r="AE708" s="9"/>
      <c r="AF708" s="9"/>
      <c r="AG708" s="9"/>
      <c r="AH708" s="9"/>
      <c r="AI708" s="9"/>
      <c r="AJ708" s="9"/>
      <c r="AK708" s="9"/>
      <c r="AL708" s="9"/>
      <c r="AM708" s="9"/>
      <c r="AN708" s="9"/>
      <c r="AO708" s="9"/>
      <c r="AP708" s="9"/>
      <c r="AQ708" s="9"/>
      <c r="AR708" s="9"/>
      <c r="AS708" s="9"/>
      <c r="AT708" s="9"/>
      <c r="AU708" s="9"/>
      <c r="AV708" s="9"/>
      <c r="AW708" s="9"/>
      <c r="AX708" s="9"/>
    </row>
    <row r="709" spans="1:50" ht="15.75" customHeight="1" x14ac:dyDescent="0.2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212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  <c r="AA709" s="212"/>
      <c r="AB709" s="9"/>
      <c r="AC709" s="9"/>
      <c r="AD709" s="9"/>
      <c r="AE709" s="9"/>
      <c r="AF709" s="9"/>
      <c r="AG709" s="9"/>
      <c r="AH709" s="9"/>
      <c r="AI709" s="9"/>
      <c r="AJ709" s="9"/>
      <c r="AK709" s="9"/>
      <c r="AL709" s="9"/>
      <c r="AM709" s="9"/>
      <c r="AN709" s="9"/>
      <c r="AO709" s="9"/>
      <c r="AP709" s="9"/>
      <c r="AQ709" s="9"/>
      <c r="AR709" s="9"/>
      <c r="AS709" s="9"/>
      <c r="AT709" s="9"/>
      <c r="AU709" s="9"/>
      <c r="AV709" s="9"/>
      <c r="AW709" s="9"/>
      <c r="AX709" s="9"/>
    </row>
    <row r="710" spans="1:50" ht="15.75" customHeight="1" x14ac:dyDescent="0.2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212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  <c r="AA710" s="212"/>
      <c r="AB710" s="9"/>
      <c r="AC710" s="9"/>
      <c r="AD710" s="9"/>
      <c r="AE710" s="9"/>
      <c r="AF710" s="9"/>
      <c r="AG710" s="9"/>
      <c r="AH710" s="9"/>
      <c r="AI710" s="9"/>
      <c r="AJ710" s="9"/>
      <c r="AK710" s="9"/>
      <c r="AL710" s="9"/>
      <c r="AM710" s="9"/>
      <c r="AN710" s="9"/>
      <c r="AO710" s="9"/>
      <c r="AP710" s="9"/>
      <c r="AQ710" s="9"/>
      <c r="AR710" s="9"/>
      <c r="AS710" s="9"/>
      <c r="AT710" s="9"/>
      <c r="AU710" s="9"/>
      <c r="AV710" s="9"/>
      <c r="AW710" s="9"/>
      <c r="AX710" s="9"/>
    </row>
    <row r="711" spans="1:50" ht="15.75" customHeight="1" x14ac:dyDescent="0.2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212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  <c r="AA711" s="212"/>
      <c r="AB711" s="9"/>
      <c r="AC711" s="9"/>
      <c r="AD711" s="9"/>
      <c r="AE711" s="9"/>
      <c r="AF711" s="9"/>
      <c r="AG711" s="9"/>
      <c r="AH711" s="9"/>
      <c r="AI711" s="9"/>
      <c r="AJ711" s="9"/>
      <c r="AK711" s="9"/>
      <c r="AL711" s="9"/>
      <c r="AM711" s="9"/>
      <c r="AN711" s="9"/>
      <c r="AO711" s="9"/>
      <c r="AP711" s="9"/>
      <c r="AQ711" s="9"/>
      <c r="AR711" s="9"/>
      <c r="AS711" s="9"/>
      <c r="AT711" s="9"/>
      <c r="AU711" s="9"/>
      <c r="AV711" s="9"/>
      <c r="AW711" s="9"/>
      <c r="AX711" s="9"/>
    </row>
    <row r="712" spans="1:50" ht="15.75" customHeight="1" x14ac:dyDescent="0.2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212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  <c r="AA712" s="212"/>
      <c r="AB712" s="9"/>
      <c r="AC712" s="9"/>
      <c r="AD712" s="9"/>
      <c r="AE712" s="9"/>
      <c r="AF712" s="9"/>
      <c r="AG712" s="9"/>
      <c r="AH712" s="9"/>
      <c r="AI712" s="9"/>
      <c r="AJ712" s="9"/>
      <c r="AK712" s="9"/>
      <c r="AL712" s="9"/>
      <c r="AM712" s="9"/>
      <c r="AN712" s="9"/>
      <c r="AO712" s="9"/>
      <c r="AP712" s="9"/>
      <c r="AQ712" s="9"/>
      <c r="AR712" s="9"/>
      <c r="AS712" s="9"/>
      <c r="AT712" s="9"/>
      <c r="AU712" s="9"/>
      <c r="AV712" s="9"/>
      <c r="AW712" s="9"/>
      <c r="AX712" s="9"/>
    </row>
    <row r="713" spans="1:50" ht="15.75" customHeight="1" x14ac:dyDescent="0.2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212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  <c r="AA713" s="212"/>
      <c r="AB713" s="9"/>
      <c r="AC713" s="9"/>
      <c r="AD713" s="9"/>
      <c r="AE713" s="9"/>
      <c r="AF713" s="9"/>
      <c r="AG713" s="9"/>
      <c r="AH713" s="9"/>
      <c r="AI713" s="9"/>
      <c r="AJ713" s="9"/>
      <c r="AK713" s="9"/>
      <c r="AL713" s="9"/>
      <c r="AM713" s="9"/>
      <c r="AN713" s="9"/>
      <c r="AO713" s="9"/>
      <c r="AP713" s="9"/>
      <c r="AQ713" s="9"/>
      <c r="AR713" s="9"/>
      <c r="AS713" s="9"/>
      <c r="AT713" s="9"/>
      <c r="AU713" s="9"/>
      <c r="AV713" s="9"/>
      <c r="AW713" s="9"/>
      <c r="AX713" s="9"/>
    </row>
    <row r="714" spans="1:50" ht="15.75" customHeight="1" x14ac:dyDescent="0.2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212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  <c r="AA714" s="212"/>
      <c r="AB714" s="9"/>
      <c r="AC714" s="9"/>
      <c r="AD714" s="9"/>
      <c r="AE714" s="9"/>
      <c r="AF714" s="9"/>
      <c r="AG714" s="9"/>
      <c r="AH714" s="9"/>
      <c r="AI714" s="9"/>
      <c r="AJ714" s="9"/>
      <c r="AK714" s="9"/>
      <c r="AL714" s="9"/>
      <c r="AM714" s="9"/>
      <c r="AN714" s="9"/>
      <c r="AO714" s="9"/>
      <c r="AP714" s="9"/>
      <c r="AQ714" s="9"/>
      <c r="AR714" s="9"/>
      <c r="AS714" s="9"/>
      <c r="AT714" s="9"/>
      <c r="AU714" s="9"/>
      <c r="AV714" s="9"/>
      <c r="AW714" s="9"/>
      <c r="AX714" s="9"/>
    </row>
    <row r="715" spans="1:50" ht="15.75" customHeight="1" x14ac:dyDescent="0.2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212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  <c r="AA715" s="212"/>
      <c r="AB715" s="9"/>
      <c r="AC715" s="9"/>
      <c r="AD715" s="9"/>
      <c r="AE715" s="9"/>
      <c r="AF715" s="9"/>
      <c r="AG715" s="9"/>
      <c r="AH715" s="9"/>
      <c r="AI715" s="9"/>
      <c r="AJ715" s="9"/>
      <c r="AK715" s="9"/>
      <c r="AL715" s="9"/>
      <c r="AM715" s="9"/>
      <c r="AN715" s="9"/>
      <c r="AO715" s="9"/>
      <c r="AP715" s="9"/>
      <c r="AQ715" s="9"/>
      <c r="AR715" s="9"/>
      <c r="AS715" s="9"/>
      <c r="AT715" s="9"/>
      <c r="AU715" s="9"/>
      <c r="AV715" s="9"/>
      <c r="AW715" s="9"/>
      <c r="AX715" s="9"/>
    </row>
    <row r="716" spans="1:50" ht="15.75" customHeight="1" x14ac:dyDescent="0.2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212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  <c r="AA716" s="212"/>
      <c r="AB716" s="9"/>
      <c r="AC716" s="9"/>
      <c r="AD716" s="9"/>
      <c r="AE716" s="9"/>
      <c r="AF716" s="9"/>
      <c r="AG716" s="9"/>
      <c r="AH716" s="9"/>
      <c r="AI716" s="9"/>
      <c r="AJ716" s="9"/>
      <c r="AK716" s="9"/>
      <c r="AL716" s="9"/>
      <c r="AM716" s="9"/>
      <c r="AN716" s="9"/>
      <c r="AO716" s="9"/>
      <c r="AP716" s="9"/>
      <c r="AQ716" s="9"/>
      <c r="AR716" s="9"/>
      <c r="AS716" s="9"/>
      <c r="AT716" s="9"/>
      <c r="AU716" s="9"/>
      <c r="AV716" s="9"/>
      <c r="AW716" s="9"/>
      <c r="AX716" s="9"/>
    </row>
    <row r="717" spans="1:50" ht="15.75" customHeight="1" x14ac:dyDescent="0.2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212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  <c r="AA717" s="212"/>
      <c r="AB717" s="9"/>
      <c r="AC717" s="9"/>
      <c r="AD717" s="9"/>
      <c r="AE717" s="9"/>
      <c r="AF717" s="9"/>
      <c r="AG717" s="9"/>
      <c r="AH717" s="9"/>
      <c r="AI717" s="9"/>
      <c r="AJ717" s="9"/>
      <c r="AK717" s="9"/>
      <c r="AL717" s="9"/>
      <c r="AM717" s="9"/>
      <c r="AN717" s="9"/>
      <c r="AO717" s="9"/>
      <c r="AP717" s="9"/>
      <c r="AQ717" s="9"/>
      <c r="AR717" s="9"/>
      <c r="AS717" s="9"/>
      <c r="AT717" s="9"/>
      <c r="AU717" s="9"/>
      <c r="AV717" s="9"/>
      <c r="AW717" s="9"/>
      <c r="AX717" s="9"/>
    </row>
    <row r="718" spans="1:50" ht="15.75" customHeight="1" x14ac:dyDescent="0.2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212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  <c r="AA718" s="212"/>
      <c r="AB718" s="9"/>
      <c r="AC718" s="9"/>
      <c r="AD718" s="9"/>
      <c r="AE718" s="9"/>
      <c r="AF718" s="9"/>
      <c r="AG718" s="9"/>
      <c r="AH718" s="9"/>
      <c r="AI718" s="9"/>
      <c r="AJ718" s="9"/>
      <c r="AK718" s="9"/>
      <c r="AL718" s="9"/>
      <c r="AM718" s="9"/>
      <c r="AN718" s="9"/>
      <c r="AO718" s="9"/>
      <c r="AP718" s="9"/>
      <c r="AQ718" s="9"/>
      <c r="AR718" s="9"/>
      <c r="AS718" s="9"/>
      <c r="AT718" s="9"/>
      <c r="AU718" s="9"/>
      <c r="AV718" s="9"/>
      <c r="AW718" s="9"/>
      <c r="AX718" s="9"/>
    </row>
    <row r="719" spans="1:50" ht="15.75" customHeight="1" x14ac:dyDescent="0.2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212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  <c r="AA719" s="212"/>
      <c r="AB719" s="9"/>
      <c r="AC719" s="9"/>
      <c r="AD719" s="9"/>
      <c r="AE719" s="9"/>
      <c r="AF719" s="9"/>
      <c r="AG719" s="9"/>
      <c r="AH719" s="9"/>
      <c r="AI719" s="9"/>
      <c r="AJ719" s="9"/>
      <c r="AK719" s="9"/>
      <c r="AL719" s="9"/>
      <c r="AM719" s="9"/>
      <c r="AN719" s="9"/>
      <c r="AO719" s="9"/>
      <c r="AP719" s="9"/>
      <c r="AQ719" s="9"/>
      <c r="AR719" s="9"/>
      <c r="AS719" s="9"/>
      <c r="AT719" s="9"/>
      <c r="AU719" s="9"/>
      <c r="AV719" s="9"/>
      <c r="AW719" s="9"/>
      <c r="AX719" s="9"/>
    </row>
    <row r="720" spans="1:50" ht="15.75" customHeight="1" x14ac:dyDescent="0.2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212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  <c r="AA720" s="212"/>
      <c r="AB720" s="9"/>
      <c r="AC720" s="9"/>
      <c r="AD720" s="9"/>
      <c r="AE720" s="9"/>
      <c r="AF720" s="9"/>
      <c r="AG720" s="9"/>
      <c r="AH720" s="9"/>
      <c r="AI720" s="9"/>
      <c r="AJ720" s="9"/>
      <c r="AK720" s="9"/>
      <c r="AL720" s="9"/>
      <c r="AM720" s="9"/>
      <c r="AN720" s="9"/>
      <c r="AO720" s="9"/>
      <c r="AP720" s="9"/>
      <c r="AQ720" s="9"/>
      <c r="AR720" s="9"/>
      <c r="AS720" s="9"/>
      <c r="AT720" s="9"/>
      <c r="AU720" s="9"/>
      <c r="AV720" s="9"/>
      <c r="AW720" s="9"/>
      <c r="AX720" s="9"/>
    </row>
    <row r="721" spans="1:50" ht="15.75" customHeight="1" x14ac:dyDescent="0.2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212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  <c r="AA721" s="212"/>
      <c r="AB721" s="9"/>
      <c r="AC721" s="9"/>
      <c r="AD721" s="9"/>
      <c r="AE721" s="9"/>
      <c r="AF721" s="9"/>
      <c r="AG721" s="9"/>
      <c r="AH721" s="9"/>
      <c r="AI721" s="9"/>
      <c r="AJ721" s="9"/>
      <c r="AK721" s="9"/>
      <c r="AL721" s="9"/>
      <c r="AM721" s="9"/>
      <c r="AN721" s="9"/>
      <c r="AO721" s="9"/>
      <c r="AP721" s="9"/>
      <c r="AQ721" s="9"/>
      <c r="AR721" s="9"/>
      <c r="AS721" s="9"/>
      <c r="AT721" s="9"/>
      <c r="AU721" s="9"/>
      <c r="AV721" s="9"/>
      <c r="AW721" s="9"/>
      <c r="AX721" s="9"/>
    </row>
    <row r="722" spans="1:50" ht="15.75" customHeight="1" x14ac:dyDescent="0.2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212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  <c r="AA722" s="212"/>
      <c r="AB722" s="9"/>
      <c r="AC722" s="9"/>
      <c r="AD722" s="9"/>
      <c r="AE722" s="9"/>
      <c r="AF722" s="9"/>
      <c r="AG722" s="9"/>
      <c r="AH722" s="9"/>
      <c r="AI722" s="9"/>
      <c r="AJ722" s="9"/>
      <c r="AK722" s="9"/>
      <c r="AL722" s="9"/>
      <c r="AM722" s="9"/>
      <c r="AN722" s="9"/>
      <c r="AO722" s="9"/>
      <c r="AP722" s="9"/>
      <c r="AQ722" s="9"/>
      <c r="AR722" s="9"/>
      <c r="AS722" s="9"/>
      <c r="AT722" s="9"/>
      <c r="AU722" s="9"/>
      <c r="AV722" s="9"/>
      <c r="AW722" s="9"/>
      <c r="AX722" s="9"/>
    </row>
    <row r="723" spans="1:50" ht="15.75" customHeight="1" x14ac:dyDescent="0.2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212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  <c r="AA723" s="212"/>
      <c r="AB723" s="9"/>
      <c r="AC723" s="9"/>
      <c r="AD723" s="9"/>
      <c r="AE723" s="9"/>
      <c r="AF723" s="9"/>
      <c r="AG723" s="9"/>
      <c r="AH723" s="9"/>
      <c r="AI723" s="9"/>
      <c r="AJ723" s="9"/>
      <c r="AK723" s="9"/>
      <c r="AL723" s="9"/>
      <c r="AM723" s="9"/>
      <c r="AN723" s="9"/>
      <c r="AO723" s="9"/>
      <c r="AP723" s="9"/>
      <c r="AQ723" s="9"/>
      <c r="AR723" s="9"/>
      <c r="AS723" s="9"/>
      <c r="AT723" s="9"/>
      <c r="AU723" s="9"/>
      <c r="AV723" s="9"/>
      <c r="AW723" s="9"/>
      <c r="AX723" s="9"/>
    </row>
    <row r="724" spans="1:50" ht="15.75" customHeight="1" x14ac:dyDescent="0.2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212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  <c r="AA724" s="212"/>
      <c r="AB724" s="9"/>
      <c r="AC724" s="9"/>
      <c r="AD724" s="9"/>
      <c r="AE724" s="9"/>
      <c r="AF724" s="9"/>
      <c r="AG724" s="9"/>
      <c r="AH724" s="9"/>
      <c r="AI724" s="9"/>
      <c r="AJ724" s="9"/>
      <c r="AK724" s="9"/>
      <c r="AL724" s="9"/>
      <c r="AM724" s="9"/>
      <c r="AN724" s="9"/>
      <c r="AO724" s="9"/>
      <c r="AP724" s="9"/>
      <c r="AQ724" s="9"/>
      <c r="AR724" s="9"/>
      <c r="AS724" s="9"/>
      <c r="AT724" s="9"/>
      <c r="AU724" s="9"/>
      <c r="AV724" s="9"/>
      <c r="AW724" s="9"/>
      <c r="AX724" s="9"/>
    </row>
    <row r="725" spans="1:50" ht="15.75" customHeight="1" x14ac:dyDescent="0.2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212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  <c r="AA725" s="212"/>
      <c r="AB725" s="9"/>
      <c r="AC725" s="9"/>
      <c r="AD725" s="9"/>
      <c r="AE725" s="9"/>
      <c r="AF725" s="9"/>
      <c r="AG725" s="9"/>
      <c r="AH725" s="9"/>
      <c r="AI725" s="9"/>
      <c r="AJ725" s="9"/>
      <c r="AK725" s="9"/>
      <c r="AL725" s="9"/>
      <c r="AM725" s="9"/>
      <c r="AN725" s="9"/>
      <c r="AO725" s="9"/>
      <c r="AP725" s="9"/>
      <c r="AQ725" s="9"/>
      <c r="AR725" s="9"/>
      <c r="AS725" s="9"/>
      <c r="AT725" s="9"/>
      <c r="AU725" s="9"/>
      <c r="AV725" s="9"/>
      <c r="AW725" s="9"/>
      <c r="AX725" s="9"/>
    </row>
    <row r="726" spans="1:50" ht="15.75" customHeight="1" x14ac:dyDescent="0.2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212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  <c r="AA726" s="212"/>
      <c r="AB726" s="9"/>
      <c r="AC726" s="9"/>
      <c r="AD726" s="9"/>
      <c r="AE726" s="9"/>
      <c r="AF726" s="9"/>
      <c r="AG726" s="9"/>
      <c r="AH726" s="9"/>
      <c r="AI726" s="9"/>
      <c r="AJ726" s="9"/>
      <c r="AK726" s="9"/>
      <c r="AL726" s="9"/>
      <c r="AM726" s="9"/>
      <c r="AN726" s="9"/>
      <c r="AO726" s="9"/>
      <c r="AP726" s="9"/>
      <c r="AQ726" s="9"/>
      <c r="AR726" s="9"/>
      <c r="AS726" s="9"/>
      <c r="AT726" s="9"/>
      <c r="AU726" s="9"/>
      <c r="AV726" s="9"/>
      <c r="AW726" s="9"/>
      <c r="AX726" s="9"/>
    </row>
    <row r="727" spans="1:50" ht="15.75" customHeight="1" x14ac:dyDescent="0.2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212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  <c r="AA727" s="212"/>
      <c r="AB727" s="9"/>
      <c r="AC727" s="9"/>
      <c r="AD727" s="9"/>
      <c r="AE727" s="9"/>
      <c r="AF727" s="9"/>
      <c r="AG727" s="9"/>
      <c r="AH727" s="9"/>
      <c r="AI727" s="9"/>
      <c r="AJ727" s="9"/>
      <c r="AK727" s="9"/>
      <c r="AL727" s="9"/>
      <c r="AM727" s="9"/>
      <c r="AN727" s="9"/>
      <c r="AO727" s="9"/>
      <c r="AP727" s="9"/>
      <c r="AQ727" s="9"/>
      <c r="AR727" s="9"/>
      <c r="AS727" s="9"/>
      <c r="AT727" s="9"/>
      <c r="AU727" s="9"/>
      <c r="AV727" s="9"/>
      <c r="AW727" s="9"/>
      <c r="AX727" s="9"/>
    </row>
    <row r="728" spans="1:50" ht="15.75" customHeight="1" x14ac:dyDescent="0.2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212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  <c r="AA728" s="212"/>
      <c r="AB728" s="9"/>
      <c r="AC728" s="9"/>
      <c r="AD728" s="9"/>
      <c r="AE728" s="9"/>
      <c r="AF728" s="9"/>
      <c r="AG728" s="9"/>
      <c r="AH728" s="9"/>
      <c r="AI728" s="9"/>
      <c r="AJ728" s="9"/>
      <c r="AK728" s="9"/>
      <c r="AL728" s="9"/>
      <c r="AM728" s="9"/>
      <c r="AN728" s="9"/>
      <c r="AO728" s="9"/>
      <c r="AP728" s="9"/>
      <c r="AQ728" s="9"/>
      <c r="AR728" s="9"/>
      <c r="AS728" s="9"/>
      <c r="AT728" s="9"/>
      <c r="AU728" s="9"/>
      <c r="AV728" s="9"/>
      <c r="AW728" s="9"/>
      <c r="AX728" s="9"/>
    </row>
    <row r="729" spans="1:50" ht="15.75" customHeight="1" x14ac:dyDescent="0.2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212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  <c r="AA729" s="212"/>
      <c r="AB729" s="9"/>
      <c r="AC729" s="9"/>
      <c r="AD729" s="9"/>
      <c r="AE729" s="9"/>
      <c r="AF729" s="9"/>
      <c r="AG729" s="9"/>
      <c r="AH729" s="9"/>
      <c r="AI729" s="9"/>
      <c r="AJ729" s="9"/>
      <c r="AK729" s="9"/>
      <c r="AL729" s="9"/>
      <c r="AM729" s="9"/>
      <c r="AN729" s="9"/>
      <c r="AO729" s="9"/>
      <c r="AP729" s="9"/>
      <c r="AQ729" s="9"/>
      <c r="AR729" s="9"/>
      <c r="AS729" s="9"/>
      <c r="AT729" s="9"/>
      <c r="AU729" s="9"/>
      <c r="AV729" s="9"/>
      <c r="AW729" s="9"/>
      <c r="AX729" s="9"/>
    </row>
    <row r="730" spans="1:50" ht="15.75" customHeight="1" x14ac:dyDescent="0.2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212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  <c r="AA730" s="212"/>
      <c r="AB730" s="9"/>
      <c r="AC730" s="9"/>
      <c r="AD730" s="9"/>
      <c r="AE730" s="9"/>
      <c r="AF730" s="9"/>
      <c r="AG730" s="9"/>
      <c r="AH730" s="9"/>
      <c r="AI730" s="9"/>
      <c r="AJ730" s="9"/>
      <c r="AK730" s="9"/>
      <c r="AL730" s="9"/>
      <c r="AM730" s="9"/>
      <c r="AN730" s="9"/>
      <c r="AO730" s="9"/>
      <c r="AP730" s="9"/>
      <c r="AQ730" s="9"/>
      <c r="AR730" s="9"/>
      <c r="AS730" s="9"/>
      <c r="AT730" s="9"/>
      <c r="AU730" s="9"/>
      <c r="AV730" s="9"/>
      <c r="AW730" s="9"/>
      <c r="AX730" s="9"/>
    </row>
    <row r="731" spans="1:50" ht="15.75" customHeight="1" x14ac:dyDescent="0.2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212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  <c r="AA731" s="212"/>
      <c r="AB731" s="9"/>
      <c r="AC731" s="9"/>
      <c r="AD731" s="9"/>
      <c r="AE731" s="9"/>
      <c r="AF731" s="9"/>
      <c r="AG731" s="9"/>
      <c r="AH731" s="9"/>
      <c r="AI731" s="9"/>
      <c r="AJ731" s="9"/>
      <c r="AK731" s="9"/>
      <c r="AL731" s="9"/>
      <c r="AM731" s="9"/>
      <c r="AN731" s="9"/>
      <c r="AO731" s="9"/>
      <c r="AP731" s="9"/>
      <c r="AQ731" s="9"/>
      <c r="AR731" s="9"/>
      <c r="AS731" s="9"/>
      <c r="AT731" s="9"/>
      <c r="AU731" s="9"/>
      <c r="AV731" s="9"/>
      <c r="AW731" s="9"/>
      <c r="AX731" s="9"/>
    </row>
    <row r="732" spans="1:50" ht="15.75" customHeight="1" x14ac:dyDescent="0.2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212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  <c r="AA732" s="212"/>
      <c r="AB732" s="9"/>
      <c r="AC732" s="9"/>
      <c r="AD732" s="9"/>
      <c r="AE732" s="9"/>
      <c r="AF732" s="9"/>
      <c r="AG732" s="9"/>
      <c r="AH732" s="9"/>
      <c r="AI732" s="9"/>
      <c r="AJ732" s="9"/>
      <c r="AK732" s="9"/>
      <c r="AL732" s="9"/>
      <c r="AM732" s="9"/>
      <c r="AN732" s="9"/>
      <c r="AO732" s="9"/>
      <c r="AP732" s="9"/>
      <c r="AQ732" s="9"/>
      <c r="AR732" s="9"/>
      <c r="AS732" s="9"/>
      <c r="AT732" s="9"/>
      <c r="AU732" s="9"/>
      <c r="AV732" s="9"/>
      <c r="AW732" s="9"/>
      <c r="AX732" s="9"/>
    </row>
    <row r="733" spans="1:50" ht="15.75" customHeight="1" x14ac:dyDescent="0.2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212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  <c r="AA733" s="212"/>
      <c r="AB733" s="9"/>
      <c r="AC733" s="9"/>
      <c r="AD733" s="9"/>
      <c r="AE733" s="9"/>
      <c r="AF733" s="9"/>
      <c r="AG733" s="9"/>
      <c r="AH733" s="9"/>
      <c r="AI733" s="9"/>
      <c r="AJ733" s="9"/>
      <c r="AK733" s="9"/>
      <c r="AL733" s="9"/>
      <c r="AM733" s="9"/>
      <c r="AN733" s="9"/>
      <c r="AO733" s="9"/>
      <c r="AP733" s="9"/>
      <c r="AQ733" s="9"/>
      <c r="AR733" s="9"/>
      <c r="AS733" s="9"/>
      <c r="AT733" s="9"/>
      <c r="AU733" s="9"/>
      <c r="AV733" s="9"/>
      <c r="AW733" s="9"/>
      <c r="AX733" s="9"/>
    </row>
    <row r="734" spans="1:50" ht="15.75" customHeight="1" x14ac:dyDescent="0.2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212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  <c r="AA734" s="212"/>
      <c r="AB734" s="9"/>
      <c r="AC734" s="9"/>
      <c r="AD734" s="9"/>
      <c r="AE734" s="9"/>
      <c r="AF734" s="9"/>
      <c r="AG734" s="9"/>
      <c r="AH734" s="9"/>
      <c r="AI734" s="9"/>
      <c r="AJ734" s="9"/>
      <c r="AK734" s="9"/>
      <c r="AL734" s="9"/>
      <c r="AM734" s="9"/>
      <c r="AN734" s="9"/>
      <c r="AO734" s="9"/>
      <c r="AP734" s="9"/>
      <c r="AQ734" s="9"/>
      <c r="AR734" s="9"/>
      <c r="AS734" s="9"/>
      <c r="AT734" s="9"/>
      <c r="AU734" s="9"/>
      <c r="AV734" s="9"/>
      <c r="AW734" s="9"/>
      <c r="AX734" s="9"/>
    </row>
    <row r="735" spans="1:50" ht="15.75" customHeight="1" x14ac:dyDescent="0.2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212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  <c r="AA735" s="212"/>
      <c r="AB735" s="9"/>
      <c r="AC735" s="9"/>
      <c r="AD735" s="9"/>
      <c r="AE735" s="9"/>
      <c r="AF735" s="9"/>
      <c r="AG735" s="9"/>
      <c r="AH735" s="9"/>
      <c r="AI735" s="9"/>
      <c r="AJ735" s="9"/>
      <c r="AK735" s="9"/>
      <c r="AL735" s="9"/>
      <c r="AM735" s="9"/>
      <c r="AN735" s="9"/>
      <c r="AO735" s="9"/>
      <c r="AP735" s="9"/>
      <c r="AQ735" s="9"/>
      <c r="AR735" s="9"/>
      <c r="AS735" s="9"/>
      <c r="AT735" s="9"/>
      <c r="AU735" s="9"/>
      <c r="AV735" s="9"/>
      <c r="AW735" s="9"/>
      <c r="AX735" s="9"/>
    </row>
    <row r="736" spans="1:50" ht="15.75" customHeight="1" x14ac:dyDescent="0.2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212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  <c r="AA736" s="212"/>
      <c r="AB736" s="9"/>
      <c r="AC736" s="9"/>
      <c r="AD736" s="9"/>
      <c r="AE736" s="9"/>
      <c r="AF736" s="9"/>
      <c r="AG736" s="9"/>
      <c r="AH736" s="9"/>
      <c r="AI736" s="9"/>
      <c r="AJ736" s="9"/>
      <c r="AK736" s="9"/>
      <c r="AL736" s="9"/>
      <c r="AM736" s="9"/>
      <c r="AN736" s="9"/>
      <c r="AO736" s="9"/>
      <c r="AP736" s="9"/>
      <c r="AQ736" s="9"/>
      <c r="AR736" s="9"/>
      <c r="AS736" s="9"/>
      <c r="AT736" s="9"/>
      <c r="AU736" s="9"/>
      <c r="AV736" s="9"/>
      <c r="AW736" s="9"/>
      <c r="AX736" s="9"/>
    </row>
    <row r="737" spans="1:50" ht="15.75" customHeight="1" x14ac:dyDescent="0.2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212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  <c r="AA737" s="212"/>
      <c r="AB737" s="9"/>
      <c r="AC737" s="9"/>
      <c r="AD737" s="9"/>
      <c r="AE737" s="9"/>
      <c r="AF737" s="9"/>
      <c r="AG737" s="9"/>
      <c r="AH737" s="9"/>
      <c r="AI737" s="9"/>
      <c r="AJ737" s="9"/>
      <c r="AK737" s="9"/>
      <c r="AL737" s="9"/>
      <c r="AM737" s="9"/>
      <c r="AN737" s="9"/>
      <c r="AO737" s="9"/>
      <c r="AP737" s="9"/>
      <c r="AQ737" s="9"/>
      <c r="AR737" s="9"/>
      <c r="AS737" s="9"/>
      <c r="AT737" s="9"/>
      <c r="AU737" s="9"/>
      <c r="AV737" s="9"/>
      <c r="AW737" s="9"/>
      <c r="AX737" s="9"/>
    </row>
    <row r="738" spans="1:50" ht="15.75" customHeight="1" x14ac:dyDescent="0.2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212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  <c r="AA738" s="212"/>
      <c r="AB738" s="9"/>
      <c r="AC738" s="9"/>
      <c r="AD738" s="9"/>
      <c r="AE738" s="9"/>
      <c r="AF738" s="9"/>
      <c r="AG738" s="9"/>
      <c r="AH738" s="9"/>
      <c r="AI738" s="9"/>
      <c r="AJ738" s="9"/>
      <c r="AK738" s="9"/>
      <c r="AL738" s="9"/>
      <c r="AM738" s="9"/>
      <c r="AN738" s="9"/>
      <c r="AO738" s="9"/>
      <c r="AP738" s="9"/>
      <c r="AQ738" s="9"/>
      <c r="AR738" s="9"/>
      <c r="AS738" s="9"/>
      <c r="AT738" s="9"/>
      <c r="AU738" s="9"/>
      <c r="AV738" s="9"/>
      <c r="AW738" s="9"/>
      <c r="AX738" s="9"/>
    </row>
    <row r="739" spans="1:50" ht="15.75" customHeight="1" x14ac:dyDescent="0.2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212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  <c r="AA739" s="212"/>
      <c r="AB739" s="9"/>
      <c r="AC739" s="9"/>
      <c r="AD739" s="9"/>
      <c r="AE739" s="9"/>
      <c r="AF739" s="9"/>
      <c r="AG739" s="9"/>
      <c r="AH739" s="9"/>
      <c r="AI739" s="9"/>
      <c r="AJ739" s="9"/>
      <c r="AK739" s="9"/>
      <c r="AL739" s="9"/>
      <c r="AM739" s="9"/>
      <c r="AN739" s="9"/>
      <c r="AO739" s="9"/>
      <c r="AP739" s="9"/>
      <c r="AQ739" s="9"/>
      <c r="AR739" s="9"/>
      <c r="AS739" s="9"/>
      <c r="AT739" s="9"/>
      <c r="AU739" s="9"/>
      <c r="AV739" s="9"/>
      <c r="AW739" s="9"/>
      <c r="AX739" s="9"/>
    </row>
    <row r="740" spans="1:50" ht="15.75" customHeight="1" x14ac:dyDescent="0.2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212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  <c r="AA740" s="212"/>
      <c r="AB740" s="9"/>
      <c r="AC740" s="9"/>
      <c r="AD740" s="9"/>
      <c r="AE740" s="9"/>
      <c r="AF740" s="9"/>
      <c r="AG740" s="9"/>
      <c r="AH740" s="9"/>
      <c r="AI740" s="9"/>
      <c r="AJ740" s="9"/>
      <c r="AK740" s="9"/>
      <c r="AL740" s="9"/>
      <c r="AM740" s="9"/>
      <c r="AN740" s="9"/>
      <c r="AO740" s="9"/>
      <c r="AP740" s="9"/>
      <c r="AQ740" s="9"/>
      <c r="AR740" s="9"/>
      <c r="AS740" s="9"/>
      <c r="AT740" s="9"/>
      <c r="AU740" s="9"/>
      <c r="AV740" s="9"/>
      <c r="AW740" s="9"/>
      <c r="AX740" s="9"/>
    </row>
    <row r="741" spans="1:50" ht="15.75" customHeight="1" x14ac:dyDescent="0.2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212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  <c r="AA741" s="212"/>
      <c r="AB741" s="9"/>
      <c r="AC741" s="9"/>
      <c r="AD741" s="9"/>
      <c r="AE741" s="9"/>
      <c r="AF741" s="9"/>
      <c r="AG741" s="9"/>
      <c r="AH741" s="9"/>
      <c r="AI741" s="9"/>
      <c r="AJ741" s="9"/>
      <c r="AK741" s="9"/>
      <c r="AL741" s="9"/>
      <c r="AM741" s="9"/>
      <c r="AN741" s="9"/>
      <c r="AO741" s="9"/>
      <c r="AP741" s="9"/>
      <c r="AQ741" s="9"/>
      <c r="AR741" s="9"/>
      <c r="AS741" s="9"/>
      <c r="AT741" s="9"/>
      <c r="AU741" s="9"/>
      <c r="AV741" s="9"/>
      <c r="AW741" s="9"/>
      <c r="AX741" s="9"/>
    </row>
    <row r="742" spans="1:50" ht="15.75" customHeight="1" x14ac:dyDescent="0.2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212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  <c r="AA742" s="212"/>
      <c r="AB742" s="9"/>
      <c r="AC742" s="9"/>
      <c r="AD742" s="9"/>
      <c r="AE742" s="9"/>
      <c r="AF742" s="9"/>
      <c r="AG742" s="9"/>
      <c r="AH742" s="9"/>
      <c r="AI742" s="9"/>
      <c r="AJ742" s="9"/>
      <c r="AK742" s="9"/>
      <c r="AL742" s="9"/>
      <c r="AM742" s="9"/>
      <c r="AN742" s="9"/>
      <c r="AO742" s="9"/>
      <c r="AP742" s="9"/>
      <c r="AQ742" s="9"/>
      <c r="AR742" s="9"/>
      <c r="AS742" s="9"/>
      <c r="AT742" s="9"/>
      <c r="AU742" s="9"/>
      <c r="AV742" s="9"/>
      <c r="AW742" s="9"/>
      <c r="AX742" s="9"/>
    </row>
    <row r="743" spans="1:50" ht="15.75" customHeight="1" x14ac:dyDescent="0.2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212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  <c r="AA743" s="212"/>
      <c r="AB743" s="9"/>
      <c r="AC743" s="9"/>
      <c r="AD743" s="9"/>
      <c r="AE743" s="9"/>
      <c r="AF743" s="9"/>
      <c r="AG743" s="9"/>
      <c r="AH743" s="9"/>
      <c r="AI743" s="9"/>
      <c r="AJ743" s="9"/>
      <c r="AK743" s="9"/>
      <c r="AL743" s="9"/>
      <c r="AM743" s="9"/>
      <c r="AN743" s="9"/>
      <c r="AO743" s="9"/>
      <c r="AP743" s="9"/>
      <c r="AQ743" s="9"/>
      <c r="AR743" s="9"/>
      <c r="AS743" s="9"/>
      <c r="AT743" s="9"/>
      <c r="AU743" s="9"/>
      <c r="AV743" s="9"/>
      <c r="AW743" s="9"/>
      <c r="AX743" s="9"/>
    </row>
    <row r="744" spans="1:50" ht="15.75" customHeight="1" x14ac:dyDescent="0.2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212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  <c r="AA744" s="212"/>
      <c r="AB744" s="9"/>
      <c r="AC744" s="9"/>
      <c r="AD744" s="9"/>
      <c r="AE744" s="9"/>
      <c r="AF744" s="9"/>
      <c r="AG744" s="9"/>
      <c r="AH744" s="9"/>
      <c r="AI744" s="9"/>
      <c r="AJ744" s="9"/>
      <c r="AK744" s="9"/>
      <c r="AL744" s="9"/>
      <c r="AM744" s="9"/>
      <c r="AN744" s="9"/>
      <c r="AO744" s="9"/>
      <c r="AP744" s="9"/>
      <c r="AQ744" s="9"/>
      <c r="AR744" s="9"/>
      <c r="AS744" s="9"/>
      <c r="AT744" s="9"/>
      <c r="AU744" s="9"/>
      <c r="AV744" s="9"/>
      <c r="AW744" s="9"/>
      <c r="AX744" s="9"/>
    </row>
    <row r="745" spans="1:50" ht="15.75" customHeight="1" x14ac:dyDescent="0.2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212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  <c r="AA745" s="212"/>
      <c r="AB745" s="9"/>
      <c r="AC745" s="9"/>
      <c r="AD745" s="9"/>
      <c r="AE745" s="9"/>
      <c r="AF745" s="9"/>
      <c r="AG745" s="9"/>
      <c r="AH745" s="9"/>
      <c r="AI745" s="9"/>
      <c r="AJ745" s="9"/>
      <c r="AK745" s="9"/>
      <c r="AL745" s="9"/>
      <c r="AM745" s="9"/>
      <c r="AN745" s="9"/>
      <c r="AO745" s="9"/>
      <c r="AP745" s="9"/>
      <c r="AQ745" s="9"/>
      <c r="AR745" s="9"/>
      <c r="AS745" s="9"/>
      <c r="AT745" s="9"/>
      <c r="AU745" s="9"/>
      <c r="AV745" s="9"/>
      <c r="AW745" s="9"/>
      <c r="AX745" s="9"/>
    </row>
    <row r="746" spans="1:50" ht="15.75" customHeight="1" x14ac:dyDescent="0.2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212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  <c r="AA746" s="212"/>
      <c r="AB746" s="9"/>
      <c r="AC746" s="9"/>
      <c r="AD746" s="9"/>
      <c r="AE746" s="9"/>
      <c r="AF746" s="9"/>
      <c r="AG746" s="9"/>
      <c r="AH746" s="9"/>
      <c r="AI746" s="9"/>
      <c r="AJ746" s="9"/>
      <c r="AK746" s="9"/>
      <c r="AL746" s="9"/>
      <c r="AM746" s="9"/>
      <c r="AN746" s="9"/>
      <c r="AO746" s="9"/>
      <c r="AP746" s="9"/>
      <c r="AQ746" s="9"/>
      <c r="AR746" s="9"/>
      <c r="AS746" s="9"/>
      <c r="AT746" s="9"/>
      <c r="AU746" s="9"/>
      <c r="AV746" s="9"/>
      <c r="AW746" s="9"/>
      <c r="AX746" s="9"/>
    </row>
    <row r="747" spans="1:50" ht="15.75" customHeight="1" x14ac:dyDescent="0.2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212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  <c r="AA747" s="212"/>
      <c r="AB747" s="9"/>
      <c r="AC747" s="9"/>
      <c r="AD747" s="9"/>
      <c r="AE747" s="9"/>
      <c r="AF747" s="9"/>
      <c r="AG747" s="9"/>
      <c r="AH747" s="9"/>
      <c r="AI747" s="9"/>
      <c r="AJ747" s="9"/>
      <c r="AK747" s="9"/>
      <c r="AL747" s="9"/>
      <c r="AM747" s="9"/>
      <c r="AN747" s="9"/>
      <c r="AO747" s="9"/>
      <c r="AP747" s="9"/>
      <c r="AQ747" s="9"/>
      <c r="AR747" s="9"/>
      <c r="AS747" s="9"/>
      <c r="AT747" s="9"/>
      <c r="AU747" s="9"/>
      <c r="AV747" s="9"/>
      <c r="AW747" s="9"/>
      <c r="AX747" s="9"/>
    </row>
    <row r="748" spans="1:50" ht="15.75" customHeight="1" x14ac:dyDescent="0.2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212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  <c r="AA748" s="212"/>
      <c r="AB748" s="9"/>
      <c r="AC748" s="9"/>
      <c r="AD748" s="9"/>
      <c r="AE748" s="9"/>
      <c r="AF748" s="9"/>
      <c r="AG748" s="9"/>
      <c r="AH748" s="9"/>
      <c r="AI748" s="9"/>
      <c r="AJ748" s="9"/>
      <c r="AK748" s="9"/>
      <c r="AL748" s="9"/>
      <c r="AM748" s="9"/>
      <c r="AN748" s="9"/>
      <c r="AO748" s="9"/>
      <c r="AP748" s="9"/>
      <c r="AQ748" s="9"/>
      <c r="AR748" s="9"/>
      <c r="AS748" s="9"/>
      <c r="AT748" s="9"/>
      <c r="AU748" s="9"/>
      <c r="AV748" s="9"/>
      <c r="AW748" s="9"/>
      <c r="AX748" s="9"/>
    </row>
    <row r="749" spans="1:50" ht="15.75" customHeight="1" x14ac:dyDescent="0.2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212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  <c r="AA749" s="212"/>
      <c r="AB749" s="9"/>
      <c r="AC749" s="9"/>
      <c r="AD749" s="9"/>
      <c r="AE749" s="9"/>
      <c r="AF749" s="9"/>
      <c r="AG749" s="9"/>
      <c r="AH749" s="9"/>
      <c r="AI749" s="9"/>
      <c r="AJ749" s="9"/>
      <c r="AK749" s="9"/>
      <c r="AL749" s="9"/>
      <c r="AM749" s="9"/>
      <c r="AN749" s="9"/>
      <c r="AO749" s="9"/>
      <c r="AP749" s="9"/>
      <c r="AQ749" s="9"/>
      <c r="AR749" s="9"/>
      <c r="AS749" s="9"/>
      <c r="AT749" s="9"/>
      <c r="AU749" s="9"/>
      <c r="AV749" s="9"/>
      <c r="AW749" s="9"/>
      <c r="AX749" s="9"/>
    </row>
    <row r="750" spans="1:50" ht="15.75" customHeight="1" x14ac:dyDescent="0.2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212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  <c r="AA750" s="212"/>
      <c r="AB750" s="9"/>
      <c r="AC750" s="9"/>
      <c r="AD750" s="9"/>
      <c r="AE750" s="9"/>
      <c r="AF750" s="9"/>
      <c r="AG750" s="9"/>
      <c r="AH750" s="9"/>
      <c r="AI750" s="9"/>
      <c r="AJ750" s="9"/>
      <c r="AK750" s="9"/>
      <c r="AL750" s="9"/>
      <c r="AM750" s="9"/>
      <c r="AN750" s="9"/>
      <c r="AO750" s="9"/>
      <c r="AP750" s="9"/>
      <c r="AQ750" s="9"/>
      <c r="AR750" s="9"/>
      <c r="AS750" s="9"/>
      <c r="AT750" s="9"/>
      <c r="AU750" s="9"/>
      <c r="AV750" s="9"/>
      <c r="AW750" s="9"/>
      <c r="AX750" s="9"/>
    </row>
    <row r="751" spans="1:50" ht="15.75" customHeight="1" x14ac:dyDescent="0.2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212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  <c r="AA751" s="212"/>
      <c r="AB751" s="9"/>
      <c r="AC751" s="9"/>
      <c r="AD751" s="9"/>
      <c r="AE751" s="9"/>
      <c r="AF751" s="9"/>
      <c r="AG751" s="9"/>
      <c r="AH751" s="9"/>
      <c r="AI751" s="9"/>
      <c r="AJ751" s="9"/>
      <c r="AK751" s="9"/>
      <c r="AL751" s="9"/>
      <c r="AM751" s="9"/>
      <c r="AN751" s="9"/>
      <c r="AO751" s="9"/>
      <c r="AP751" s="9"/>
      <c r="AQ751" s="9"/>
      <c r="AR751" s="9"/>
      <c r="AS751" s="9"/>
      <c r="AT751" s="9"/>
      <c r="AU751" s="9"/>
      <c r="AV751" s="9"/>
      <c r="AW751" s="9"/>
      <c r="AX751" s="9"/>
    </row>
    <row r="752" spans="1:50" ht="15.75" customHeight="1" x14ac:dyDescent="0.2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212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  <c r="AA752" s="212"/>
      <c r="AB752" s="9"/>
      <c r="AC752" s="9"/>
      <c r="AD752" s="9"/>
      <c r="AE752" s="9"/>
      <c r="AF752" s="9"/>
      <c r="AG752" s="9"/>
      <c r="AH752" s="9"/>
      <c r="AI752" s="9"/>
      <c r="AJ752" s="9"/>
      <c r="AK752" s="9"/>
      <c r="AL752" s="9"/>
      <c r="AM752" s="9"/>
      <c r="AN752" s="9"/>
      <c r="AO752" s="9"/>
      <c r="AP752" s="9"/>
      <c r="AQ752" s="9"/>
      <c r="AR752" s="9"/>
      <c r="AS752" s="9"/>
      <c r="AT752" s="9"/>
      <c r="AU752" s="9"/>
      <c r="AV752" s="9"/>
      <c r="AW752" s="9"/>
      <c r="AX752" s="9"/>
    </row>
    <row r="753" spans="1:50" ht="15.75" customHeight="1" x14ac:dyDescent="0.2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212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  <c r="AA753" s="212"/>
      <c r="AB753" s="9"/>
      <c r="AC753" s="9"/>
      <c r="AD753" s="9"/>
      <c r="AE753" s="9"/>
      <c r="AF753" s="9"/>
      <c r="AG753" s="9"/>
      <c r="AH753" s="9"/>
      <c r="AI753" s="9"/>
      <c r="AJ753" s="9"/>
      <c r="AK753" s="9"/>
      <c r="AL753" s="9"/>
      <c r="AM753" s="9"/>
      <c r="AN753" s="9"/>
      <c r="AO753" s="9"/>
      <c r="AP753" s="9"/>
      <c r="AQ753" s="9"/>
      <c r="AR753" s="9"/>
      <c r="AS753" s="9"/>
      <c r="AT753" s="9"/>
      <c r="AU753" s="9"/>
      <c r="AV753" s="9"/>
      <c r="AW753" s="9"/>
      <c r="AX753" s="9"/>
    </row>
    <row r="754" spans="1:50" ht="15.75" customHeight="1" x14ac:dyDescent="0.2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212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  <c r="AA754" s="212"/>
      <c r="AB754" s="9"/>
      <c r="AC754" s="9"/>
      <c r="AD754" s="9"/>
      <c r="AE754" s="9"/>
      <c r="AF754" s="9"/>
      <c r="AG754" s="9"/>
      <c r="AH754" s="9"/>
      <c r="AI754" s="9"/>
      <c r="AJ754" s="9"/>
      <c r="AK754" s="9"/>
      <c r="AL754" s="9"/>
      <c r="AM754" s="9"/>
      <c r="AN754" s="9"/>
      <c r="AO754" s="9"/>
      <c r="AP754" s="9"/>
      <c r="AQ754" s="9"/>
      <c r="AR754" s="9"/>
      <c r="AS754" s="9"/>
      <c r="AT754" s="9"/>
      <c r="AU754" s="9"/>
      <c r="AV754" s="9"/>
      <c r="AW754" s="9"/>
      <c r="AX754" s="9"/>
    </row>
    <row r="755" spans="1:50" ht="15.75" customHeight="1" x14ac:dyDescent="0.2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212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  <c r="AA755" s="212"/>
      <c r="AB755" s="9"/>
      <c r="AC755" s="9"/>
      <c r="AD755" s="9"/>
      <c r="AE755" s="9"/>
      <c r="AF755" s="9"/>
      <c r="AG755" s="9"/>
      <c r="AH755" s="9"/>
      <c r="AI755" s="9"/>
      <c r="AJ755" s="9"/>
      <c r="AK755" s="9"/>
      <c r="AL755" s="9"/>
      <c r="AM755" s="9"/>
      <c r="AN755" s="9"/>
      <c r="AO755" s="9"/>
      <c r="AP755" s="9"/>
      <c r="AQ755" s="9"/>
      <c r="AR755" s="9"/>
      <c r="AS755" s="9"/>
      <c r="AT755" s="9"/>
      <c r="AU755" s="9"/>
      <c r="AV755" s="9"/>
      <c r="AW755" s="9"/>
      <c r="AX755" s="9"/>
    </row>
    <row r="756" spans="1:50" ht="15.75" customHeight="1" x14ac:dyDescent="0.2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212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  <c r="AA756" s="212"/>
      <c r="AB756" s="9"/>
      <c r="AC756" s="9"/>
      <c r="AD756" s="9"/>
      <c r="AE756" s="9"/>
      <c r="AF756" s="9"/>
      <c r="AG756" s="9"/>
      <c r="AH756" s="9"/>
      <c r="AI756" s="9"/>
      <c r="AJ756" s="9"/>
      <c r="AK756" s="9"/>
      <c r="AL756" s="9"/>
      <c r="AM756" s="9"/>
      <c r="AN756" s="9"/>
      <c r="AO756" s="9"/>
      <c r="AP756" s="9"/>
      <c r="AQ756" s="9"/>
      <c r="AR756" s="9"/>
      <c r="AS756" s="9"/>
      <c r="AT756" s="9"/>
      <c r="AU756" s="9"/>
      <c r="AV756" s="9"/>
      <c r="AW756" s="9"/>
      <c r="AX756" s="9"/>
    </row>
    <row r="757" spans="1:50" ht="15.75" customHeight="1" x14ac:dyDescent="0.2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212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  <c r="AA757" s="212"/>
      <c r="AB757" s="9"/>
      <c r="AC757" s="9"/>
      <c r="AD757" s="9"/>
      <c r="AE757" s="9"/>
      <c r="AF757" s="9"/>
      <c r="AG757" s="9"/>
      <c r="AH757" s="9"/>
      <c r="AI757" s="9"/>
      <c r="AJ757" s="9"/>
      <c r="AK757" s="9"/>
      <c r="AL757" s="9"/>
      <c r="AM757" s="9"/>
      <c r="AN757" s="9"/>
      <c r="AO757" s="9"/>
      <c r="AP757" s="9"/>
      <c r="AQ757" s="9"/>
      <c r="AR757" s="9"/>
      <c r="AS757" s="9"/>
      <c r="AT757" s="9"/>
      <c r="AU757" s="9"/>
      <c r="AV757" s="9"/>
      <c r="AW757" s="9"/>
      <c r="AX757" s="9"/>
    </row>
    <row r="758" spans="1:50" ht="15.75" customHeight="1" x14ac:dyDescent="0.2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212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  <c r="AA758" s="212"/>
      <c r="AB758" s="9"/>
      <c r="AC758" s="9"/>
      <c r="AD758" s="9"/>
      <c r="AE758" s="9"/>
      <c r="AF758" s="9"/>
      <c r="AG758" s="9"/>
      <c r="AH758" s="9"/>
      <c r="AI758" s="9"/>
      <c r="AJ758" s="9"/>
      <c r="AK758" s="9"/>
      <c r="AL758" s="9"/>
      <c r="AM758" s="9"/>
      <c r="AN758" s="9"/>
      <c r="AO758" s="9"/>
      <c r="AP758" s="9"/>
      <c r="AQ758" s="9"/>
      <c r="AR758" s="9"/>
      <c r="AS758" s="9"/>
      <c r="AT758" s="9"/>
      <c r="AU758" s="9"/>
      <c r="AV758" s="9"/>
      <c r="AW758" s="9"/>
      <c r="AX758" s="9"/>
    </row>
    <row r="759" spans="1:50" ht="15.75" customHeight="1" x14ac:dyDescent="0.2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212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  <c r="AA759" s="212"/>
      <c r="AB759" s="9"/>
      <c r="AC759" s="9"/>
      <c r="AD759" s="9"/>
      <c r="AE759" s="9"/>
      <c r="AF759" s="9"/>
      <c r="AG759" s="9"/>
      <c r="AH759" s="9"/>
      <c r="AI759" s="9"/>
      <c r="AJ759" s="9"/>
      <c r="AK759" s="9"/>
      <c r="AL759" s="9"/>
      <c r="AM759" s="9"/>
      <c r="AN759" s="9"/>
      <c r="AO759" s="9"/>
      <c r="AP759" s="9"/>
      <c r="AQ759" s="9"/>
      <c r="AR759" s="9"/>
      <c r="AS759" s="9"/>
      <c r="AT759" s="9"/>
      <c r="AU759" s="9"/>
      <c r="AV759" s="9"/>
      <c r="AW759" s="9"/>
      <c r="AX759" s="9"/>
    </row>
    <row r="760" spans="1:50" ht="15.75" customHeight="1" x14ac:dyDescent="0.2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212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  <c r="AA760" s="212"/>
      <c r="AB760" s="9"/>
      <c r="AC760" s="9"/>
      <c r="AD760" s="9"/>
      <c r="AE760" s="9"/>
      <c r="AF760" s="9"/>
      <c r="AG760" s="9"/>
      <c r="AH760" s="9"/>
      <c r="AI760" s="9"/>
      <c r="AJ760" s="9"/>
      <c r="AK760" s="9"/>
      <c r="AL760" s="9"/>
      <c r="AM760" s="9"/>
      <c r="AN760" s="9"/>
      <c r="AO760" s="9"/>
      <c r="AP760" s="9"/>
      <c r="AQ760" s="9"/>
      <c r="AR760" s="9"/>
      <c r="AS760" s="9"/>
      <c r="AT760" s="9"/>
      <c r="AU760" s="9"/>
      <c r="AV760" s="9"/>
      <c r="AW760" s="9"/>
      <c r="AX760" s="9"/>
    </row>
    <row r="761" spans="1:50" ht="15.75" customHeight="1" x14ac:dyDescent="0.2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212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  <c r="AA761" s="212"/>
      <c r="AB761" s="9"/>
      <c r="AC761" s="9"/>
      <c r="AD761" s="9"/>
      <c r="AE761" s="9"/>
      <c r="AF761" s="9"/>
      <c r="AG761" s="9"/>
      <c r="AH761" s="9"/>
      <c r="AI761" s="9"/>
      <c r="AJ761" s="9"/>
      <c r="AK761" s="9"/>
      <c r="AL761" s="9"/>
      <c r="AM761" s="9"/>
      <c r="AN761" s="9"/>
      <c r="AO761" s="9"/>
      <c r="AP761" s="9"/>
      <c r="AQ761" s="9"/>
      <c r="AR761" s="9"/>
      <c r="AS761" s="9"/>
      <c r="AT761" s="9"/>
      <c r="AU761" s="9"/>
      <c r="AV761" s="9"/>
      <c r="AW761" s="9"/>
      <c r="AX761" s="9"/>
    </row>
    <row r="762" spans="1:50" ht="15.75" customHeight="1" x14ac:dyDescent="0.2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212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  <c r="AA762" s="212"/>
      <c r="AB762" s="9"/>
      <c r="AC762" s="9"/>
      <c r="AD762" s="9"/>
      <c r="AE762" s="9"/>
      <c r="AF762" s="9"/>
      <c r="AG762" s="9"/>
      <c r="AH762" s="9"/>
      <c r="AI762" s="9"/>
      <c r="AJ762" s="9"/>
      <c r="AK762" s="9"/>
      <c r="AL762" s="9"/>
      <c r="AM762" s="9"/>
      <c r="AN762" s="9"/>
      <c r="AO762" s="9"/>
      <c r="AP762" s="9"/>
      <c r="AQ762" s="9"/>
      <c r="AR762" s="9"/>
      <c r="AS762" s="9"/>
      <c r="AT762" s="9"/>
      <c r="AU762" s="9"/>
      <c r="AV762" s="9"/>
      <c r="AW762" s="9"/>
      <c r="AX762" s="9"/>
    </row>
    <row r="763" spans="1:50" ht="15.75" customHeight="1" x14ac:dyDescent="0.2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212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  <c r="AA763" s="212"/>
      <c r="AB763" s="9"/>
      <c r="AC763" s="9"/>
      <c r="AD763" s="9"/>
      <c r="AE763" s="9"/>
      <c r="AF763" s="9"/>
      <c r="AG763" s="9"/>
      <c r="AH763" s="9"/>
      <c r="AI763" s="9"/>
      <c r="AJ763" s="9"/>
      <c r="AK763" s="9"/>
      <c r="AL763" s="9"/>
      <c r="AM763" s="9"/>
      <c r="AN763" s="9"/>
      <c r="AO763" s="9"/>
      <c r="AP763" s="9"/>
      <c r="AQ763" s="9"/>
      <c r="AR763" s="9"/>
      <c r="AS763" s="9"/>
      <c r="AT763" s="9"/>
      <c r="AU763" s="9"/>
      <c r="AV763" s="9"/>
      <c r="AW763" s="9"/>
      <c r="AX763" s="9"/>
    </row>
    <row r="764" spans="1:50" ht="15.75" customHeight="1" x14ac:dyDescent="0.2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212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  <c r="AA764" s="212"/>
      <c r="AB764" s="9"/>
      <c r="AC764" s="9"/>
      <c r="AD764" s="9"/>
      <c r="AE764" s="9"/>
      <c r="AF764" s="9"/>
      <c r="AG764" s="9"/>
      <c r="AH764" s="9"/>
      <c r="AI764" s="9"/>
      <c r="AJ764" s="9"/>
      <c r="AK764" s="9"/>
      <c r="AL764" s="9"/>
      <c r="AM764" s="9"/>
      <c r="AN764" s="9"/>
      <c r="AO764" s="9"/>
      <c r="AP764" s="9"/>
      <c r="AQ764" s="9"/>
      <c r="AR764" s="9"/>
      <c r="AS764" s="9"/>
      <c r="AT764" s="9"/>
      <c r="AU764" s="9"/>
      <c r="AV764" s="9"/>
      <c r="AW764" s="9"/>
      <c r="AX764" s="9"/>
    </row>
    <row r="765" spans="1:50" ht="15.75" customHeight="1" x14ac:dyDescent="0.2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212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  <c r="AA765" s="212"/>
      <c r="AB765" s="9"/>
      <c r="AC765" s="9"/>
      <c r="AD765" s="9"/>
      <c r="AE765" s="9"/>
      <c r="AF765" s="9"/>
      <c r="AG765" s="9"/>
      <c r="AH765" s="9"/>
      <c r="AI765" s="9"/>
      <c r="AJ765" s="9"/>
      <c r="AK765" s="9"/>
      <c r="AL765" s="9"/>
      <c r="AM765" s="9"/>
      <c r="AN765" s="9"/>
      <c r="AO765" s="9"/>
      <c r="AP765" s="9"/>
      <c r="AQ765" s="9"/>
      <c r="AR765" s="9"/>
      <c r="AS765" s="9"/>
      <c r="AT765" s="9"/>
      <c r="AU765" s="9"/>
      <c r="AV765" s="9"/>
      <c r="AW765" s="9"/>
      <c r="AX765" s="9"/>
    </row>
    <row r="766" spans="1:50" ht="15.75" customHeight="1" x14ac:dyDescent="0.2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212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  <c r="AA766" s="212"/>
      <c r="AB766" s="9"/>
      <c r="AC766" s="9"/>
      <c r="AD766" s="9"/>
      <c r="AE766" s="9"/>
      <c r="AF766" s="9"/>
      <c r="AG766" s="9"/>
      <c r="AH766" s="9"/>
      <c r="AI766" s="9"/>
      <c r="AJ766" s="9"/>
      <c r="AK766" s="9"/>
      <c r="AL766" s="9"/>
      <c r="AM766" s="9"/>
      <c r="AN766" s="9"/>
      <c r="AO766" s="9"/>
      <c r="AP766" s="9"/>
      <c r="AQ766" s="9"/>
      <c r="AR766" s="9"/>
      <c r="AS766" s="9"/>
      <c r="AT766" s="9"/>
      <c r="AU766" s="9"/>
      <c r="AV766" s="9"/>
      <c r="AW766" s="9"/>
      <c r="AX766" s="9"/>
    </row>
    <row r="767" spans="1:50" ht="15.75" customHeight="1" x14ac:dyDescent="0.2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212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  <c r="AA767" s="212"/>
      <c r="AB767" s="9"/>
      <c r="AC767" s="9"/>
      <c r="AD767" s="9"/>
      <c r="AE767" s="9"/>
      <c r="AF767" s="9"/>
      <c r="AG767" s="9"/>
      <c r="AH767" s="9"/>
      <c r="AI767" s="9"/>
      <c r="AJ767" s="9"/>
      <c r="AK767" s="9"/>
      <c r="AL767" s="9"/>
      <c r="AM767" s="9"/>
      <c r="AN767" s="9"/>
      <c r="AO767" s="9"/>
      <c r="AP767" s="9"/>
      <c r="AQ767" s="9"/>
      <c r="AR767" s="9"/>
      <c r="AS767" s="9"/>
      <c r="AT767" s="9"/>
      <c r="AU767" s="9"/>
      <c r="AV767" s="9"/>
      <c r="AW767" s="9"/>
      <c r="AX767" s="9"/>
    </row>
    <row r="768" spans="1:50" ht="15.75" customHeight="1" x14ac:dyDescent="0.2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212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  <c r="AA768" s="212"/>
      <c r="AB768" s="9"/>
      <c r="AC768" s="9"/>
      <c r="AD768" s="9"/>
      <c r="AE768" s="9"/>
      <c r="AF768" s="9"/>
      <c r="AG768" s="9"/>
      <c r="AH768" s="9"/>
      <c r="AI768" s="9"/>
      <c r="AJ768" s="9"/>
      <c r="AK768" s="9"/>
      <c r="AL768" s="9"/>
      <c r="AM768" s="9"/>
      <c r="AN768" s="9"/>
      <c r="AO768" s="9"/>
      <c r="AP768" s="9"/>
      <c r="AQ768" s="9"/>
      <c r="AR768" s="9"/>
      <c r="AS768" s="9"/>
      <c r="AT768" s="9"/>
      <c r="AU768" s="9"/>
      <c r="AV768" s="9"/>
      <c r="AW768" s="9"/>
      <c r="AX768" s="9"/>
    </row>
    <row r="769" spans="1:50" ht="15.75" customHeight="1" x14ac:dyDescent="0.2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212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  <c r="AA769" s="212"/>
      <c r="AB769" s="9"/>
      <c r="AC769" s="9"/>
      <c r="AD769" s="9"/>
      <c r="AE769" s="9"/>
      <c r="AF769" s="9"/>
      <c r="AG769" s="9"/>
      <c r="AH769" s="9"/>
      <c r="AI769" s="9"/>
      <c r="AJ769" s="9"/>
      <c r="AK769" s="9"/>
      <c r="AL769" s="9"/>
      <c r="AM769" s="9"/>
      <c r="AN769" s="9"/>
      <c r="AO769" s="9"/>
      <c r="AP769" s="9"/>
      <c r="AQ769" s="9"/>
      <c r="AR769" s="9"/>
      <c r="AS769" s="9"/>
      <c r="AT769" s="9"/>
      <c r="AU769" s="9"/>
      <c r="AV769" s="9"/>
      <c r="AW769" s="9"/>
      <c r="AX769" s="9"/>
    </row>
    <row r="770" spans="1:50" ht="15.75" customHeight="1" x14ac:dyDescent="0.2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212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  <c r="AA770" s="212"/>
      <c r="AB770" s="9"/>
      <c r="AC770" s="9"/>
      <c r="AD770" s="9"/>
      <c r="AE770" s="9"/>
      <c r="AF770" s="9"/>
      <c r="AG770" s="9"/>
      <c r="AH770" s="9"/>
      <c r="AI770" s="9"/>
      <c r="AJ770" s="9"/>
      <c r="AK770" s="9"/>
      <c r="AL770" s="9"/>
      <c r="AM770" s="9"/>
      <c r="AN770" s="9"/>
      <c r="AO770" s="9"/>
      <c r="AP770" s="9"/>
      <c r="AQ770" s="9"/>
      <c r="AR770" s="9"/>
      <c r="AS770" s="9"/>
      <c r="AT770" s="9"/>
      <c r="AU770" s="9"/>
      <c r="AV770" s="9"/>
      <c r="AW770" s="9"/>
      <c r="AX770" s="9"/>
    </row>
    <row r="771" spans="1:50" ht="15.75" customHeight="1" x14ac:dyDescent="0.2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212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  <c r="AA771" s="212"/>
      <c r="AB771" s="9"/>
      <c r="AC771" s="9"/>
      <c r="AD771" s="9"/>
      <c r="AE771" s="9"/>
      <c r="AF771" s="9"/>
      <c r="AG771" s="9"/>
      <c r="AH771" s="9"/>
      <c r="AI771" s="9"/>
      <c r="AJ771" s="9"/>
      <c r="AK771" s="9"/>
      <c r="AL771" s="9"/>
      <c r="AM771" s="9"/>
      <c r="AN771" s="9"/>
      <c r="AO771" s="9"/>
      <c r="AP771" s="9"/>
      <c r="AQ771" s="9"/>
      <c r="AR771" s="9"/>
      <c r="AS771" s="9"/>
      <c r="AT771" s="9"/>
      <c r="AU771" s="9"/>
      <c r="AV771" s="9"/>
      <c r="AW771" s="9"/>
      <c r="AX771" s="9"/>
    </row>
    <row r="772" spans="1:50" ht="15.75" customHeight="1" x14ac:dyDescent="0.2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212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  <c r="AA772" s="212"/>
      <c r="AB772" s="9"/>
      <c r="AC772" s="9"/>
      <c r="AD772" s="9"/>
      <c r="AE772" s="9"/>
      <c r="AF772" s="9"/>
      <c r="AG772" s="9"/>
      <c r="AH772" s="9"/>
      <c r="AI772" s="9"/>
      <c r="AJ772" s="9"/>
      <c r="AK772" s="9"/>
      <c r="AL772" s="9"/>
      <c r="AM772" s="9"/>
      <c r="AN772" s="9"/>
      <c r="AO772" s="9"/>
      <c r="AP772" s="9"/>
      <c r="AQ772" s="9"/>
      <c r="AR772" s="9"/>
      <c r="AS772" s="9"/>
      <c r="AT772" s="9"/>
      <c r="AU772" s="9"/>
      <c r="AV772" s="9"/>
      <c r="AW772" s="9"/>
      <c r="AX772" s="9"/>
    </row>
    <row r="773" spans="1:50" ht="15.75" customHeight="1" x14ac:dyDescent="0.2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212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  <c r="AA773" s="212"/>
      <c r="AB773" s="9"/>
      <c r="AC773" s="9"/>
      <c r="AD773" s="9"/>
      <c r="AE773" s="9"/>
      <c r="AF773" s="9"/>
      <c r="AG773" s="9"/>
      <c r="AH773" s="9"/>
      <c r="AI773" s="9"/>
      <c r="AJ773" s="9"/>
      <c r="AK773" s="9"/>
      <c r="AL773" s="9"/>
      <c r="AM773" s="9"/>
      <c r="AN773" s="9"/>
      <c r="AO773" s="9"/>
      <c r="AP773" s="9"/>
      <c r="AQ773" s="9"/>
      <c r="AR773" s="9"/>
      <c r="AS773" s="9"/>
      <c r="AT773" s="9"/>
      <c r="AU773" s="9"/>
      <c r="AV773" s="9"/>
      <c r="AW773" s="9"/>
      <c r="AX773" s="9"/>
    </row>
    <row r="774" spans="1:50" ht="15.75" customHeight="1" x14ac:dyDescent="0.2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212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  <c r="AA774" s="212"/>
      <c r="AB774" s="9"/>
      <c r="AC774" s="9"/>
      <c r="AD774" s="9"/>
      <c r="AE774" s="9"/>
      <c r="AF774" s="9"/>
      <c r="AG774" s="9"/>
      <c r="AH774" s="9"/>
      <c r="AI774" s="9"/>
      <c r="AJ774" s="9"/>
      <c r="AK774" s="9"/>
      <c r="AL774" s="9"/>
      <c r="AM774" s="9"/>
      <c r="AN774" s="9"/>
      <c r="AO774" s="9"/>
      <c r="AP774" s="9"/>
      <c r="AQ774" s="9"/>
      <c r="AR774" s="9"/>
      <c r="AS774" s="9"/>
      <c r="AT774" s="9"/>
      <c r="AU774" s="9"/>
      <c r="AV774" s="9"/>
      <c r="AW774" s="9"/>
      <c r="AX774" s="9"/>
    </row>
    <row r="775" spans="1:50" ht="15.75" customHeight="1" x14ac:dyDescent="0.2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212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  <c r="AA775" s="212"/>
      <c r="AB775" s="9"/>
      <c r="AC775" s="9"/>
      <c r="AD775" s="9"/>
      <c r="AE775" s="9"/>
      <c r="AF775" s="9"/>
      <c r="AG775" s="9"/>
      <c r="AH775" s="9"/>
      <c r="AI775" s="9"/>
      <c r="AJ775" s="9"/>
      <c r="AK775" s="9"/>
      <c r="AL775" s="9"/>
      <c r="AM775" s="9"/>
      <c r="AN775" s="9"/>
      <c r="AO775" s="9"/>
      <c r="AP775" s="9"/>
      <c r="AQ775" s="9"/>
      <c r="AR775" s="9"/>
      <c r="AS775" s="9"/>
      <c r="AT775" s="9"/>
      <c r="AU775" s="9"/>
      <c r="AV775" s="9"/>
      <c r="AW775" s="9"/>
      <c r="AX775" s="9"/>
    </row>
    <row r="776" spans="1:50" ht="15.75" customHeight="1" x14ac:dyDescent="0.2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212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  <c r="AA776" s="212"/>
      <c r="AB776" s="9"/>
      <c r="AC776" s="9"/>
      <c r="AD776" s="9"/>
      <c r="AE776" s="9"/>
      <c r="AF776" s="9"/>
      <c r="AG776" s="9"/>
      <c r="AH776" s="9"/>
      <c r="AI776" s="9"/>
      <c r="AJ776" s="9"/>
      <c r="AK776" s="9"/>
      <c r="AL776" s="9"/>
      <c r="AM776" s="9"/>
      <c r="AN776" s="9"/>
      <c r="AO776" s="9"/>
      <c r="AP776" s="9"/>
      <c r="AQ776" s="9"/>
      <c r="AR776" s="9"/>
      <c r="AS776" s="9"/>
      <c r="AT776" s="9"/>
      <c r="AU776" s="9"/>
      <c r="AV776" s="9"/>
      <c r="AW776" s="9"/>
      <c r="AX776" s="9"/>
    </row>
    <row r="777" spans="1:50" ht="15.75" customHeight="1" x14ac:dyDescent="0.2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212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  <c r="AA777" s="212"/>
      <c r="AB777" s="9"/>
      <c r="AC777" s="9"/>
      <c r="AD777" s="9"/>
      <c r="AE777" s="9"/>
      <c r="AF777" s="9"/>
      <c r="AG777" s="9"/>
      <c r="AH777" s="9"/>
      <c r="AI777" s="9"/>
      <c r="AJ777" s="9"/>
      <c r="AK777" s="9"/>
      <c r="AL777" s="9"/>
      <c r="AM777" s="9"/>
      <c r="AN777" s="9"/>
      <c r="AO777" s="9"/>
      <c r="AP777" s="9"/>
      <c r="AQ777" s="9"/>
      <c r="AR777" s="9"/>
      <c r="AS777" s="9"/>
      <c r="AT777" s="9"/>
      <c r="AU777" s="9"/>
      <c r="AV777" s="9"/>
      <c r="AW777" s="9"/>
      <c r="AX777" s="9"/>
    </row>
    <row r="778" spans="1:50" ht="15.75" customHeight="1" x14ac:dyDescent="0.2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212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  <c r="AA778" s="212"/>
      <c r="AB778" s="9"/>
      <c r="AC778" s="9"/>
      <c r="AD778" s="9"/>
      <c r="AE778" s="9"/>
      <c r="AF778" s="9"/>
      <c r="AG778" s="9"/>
      <c r="AH778" s="9"/>
      <c r="AI778" s="9"/>
      <c r="AJ778" s="9"/>
      <c r="AK778" s="9"/>
      <c r="AL778" s="9"/>
      <c r="AM778" s="9"/>
      <c r="AN778" s="9"/>
      <c r="AO778" s="9"/>
      <c r="AP778" s="9"/>
      <c r="AQ778" s="9"/>
      <c r="AR778" s="9"/>
      <c r="AS778" s="9"/>
      <c r="AT778" s="9"/>
      <c r="AU778" s="9"/>
      <c r="AV778" s="9"/>
      <c r="AW778" s="9"/>
      <c r="AX778" s="9"/>
    </row>
    <row r="779" spans="1:50" ht="15.75" customHeight="1" x14ac:dyDescent="0.2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212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  <c r="AA779" s="212"/>
      <c r="AB779" s="9"/>
      <c r="AC779" s="9"/>
      <c r="AD779" s="9"/>
      <c r="AE779" s="9"/>
      <c r="AF779" s="9"/>
      <c r="AG779" s="9"/>
      <c r="AH779" s="9"/>
      <c r="AI779" s="9"/>
      <c r="AJ779" s="9"/>
      <c r="AK779" s="9"/>
      <c r="AL779" s="9"/>
      <c r="AM779" s="9"/>
      <c r="AN779" s="9"/>
      <c r="AO779" s="9"/>
      <c r="AP779" s="9"/>
      <c r="AQ779" s="9"/>
      <c r="AR779" s="9"/>
      <c r="AS779" s="9"/>
      <c r="AT779" s="9"/>
      <c r="AU779" s="9"/>
      <c r="AV779" s="9"/>
      <c r="AW779" s="9"/>
      <c r="AX779" s="9"/>
    </row>
    <row r="780" spans="1:50" ht="15.75" customHeight="1" x14ac:dyDescent="0.2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212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  <c r="AA780" s="212"/>
      <c r="AB780" s="9"/>
      <c r="AC780" s="9"/>
      <c r="AD780" s="9"/>
      <c r="AE780" s="9"/>
      <c r="AF780" s="9"/>
      <c r="AG780" s="9"/>
      <c r="AH780" s="9"/>
      <c r="AI780" s="9"/>
      <c r="AJ780" s="9"/>
      <c r="AK780" s="9"/>
      <c r="AL780" s="9"/>
      <c r="AM780" s="9"/>
      <c r="AN780" s="9"/>
      <c r="AO780" s="9"/>
      <c r="AP780" s="9"/>
      <c r="AQ780" s="9"/>
      <c r="AR780" s="9"/>
      <c r="AS780" s="9"/>
      <c r="AT780" s="9"/>
      <c r="AU780" s="9"/>
      <c r="AV780" s="9"/>
      <c r="AW780" s="9"/>
      <c r="AX780" s="9"/>
    </row>
    <row r="781" spans="1:50" ht="15.75" customHeight="1" x14ac:dyDescent="0.2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212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  <c r="AA781" s="212"/>
      <c r="AB781" s="9"/>
      <c r="AC781" s="9"/>
      <c r="AD781" s="9"/>
      <c r="AE781" s="9"/>
      <c r="AF781" s="9"/>
      <c r="AG781" s="9"/>
      <c r="AH781" s="9"/>
      <c r="AI781" s="9"/>
      <c r="AJ781" s="9"/>
      <c r="AK781" s="9"/>
      <c r="AL781" s="9"/>
      <c r="AM781" s="9"/>
      <c r="AN781" s="9"/>
      <c r="AO781" s="9"/>
      <c r="AP781" s="9"/>
      <c r="AQ781" s="9"/>
      <c r="AR781" s="9"/>
      <c r="AS781" s="9"/>
      <c r="AT781" s="9"/>
      <c r="AU781" s="9"/>
      <c r="AV781" s="9"/>
      <c r="AW781" s="9"/>
      <c r="AX781" s="9"/>
    </row>
    <row r="782" spans="1:50" ht="15.75" customHeight="1" x14ac:dyDescent="0.2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212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  <c r="AA782" s="212"/>
      <c r="AB782" s="9"/>
      <c r="AC782" s="9"/>
      <c r="AD782" s="9"/>
      <c r="AE782" s="9"/>
      <c r="AF782" s="9"/>
      <c r="AG782" s="9"/>
      <c r="AH782" s="9"/>
      <c r="AI782" s="9"/>
      <c r="AJ782" s="9"/>
      <c r="AK782" s="9"/>
      <c r="AL782" s="9"/>
      <c r="AM782" s="9"/>
      <c r="AN782" s="9"/>
      <c r="AO782" s="9"/>
      <c r="AP782" s="9"/>
      <c r="AQ782" s="9"/>
      <c r="AR782" s="9"/>
      <c r="AS782" s="9"/>
      <c r="AT782" s="9"/>
      <c r="AU782" s="9"/>
      <c r="AV782" s="9"/>
      <c r="AW782" s="9"/>
      <c r="AX782" s="9"/>
    </row>
    <row r="783" spans="1:50" ht="15.75" customHeight="1" x14ac:dyDescent="0.2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212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  <c r="AA783" s="212"/>
      <c r="AB783" s="9"/>
      <c r="AC783" s="9"/>
      <c r="AD783" s="9"/>
      <c r="AE783" s="9"/>
      <c r="AF783" s="9"/>
      <c r="AG783" s="9"/>
      <c r="AH783" s="9"/>
      <c r="AI783" s="9"/>
      <c r="AJ783" s="9"/>
      <c r="AK783" s="9"/>
      <c r="AL783" s="9"/>
      <c r="AM783" s="9"/>
      <c r="AN783" s="9"/>
      <c r="AO783" s="9"/>
      <c r="AP783" s="9"/>
      <c r="AQ783" s="9"/>
      <c r="AR783" s="9"/>
      <c r="AS783" s="9"/>
      <c r="AT783" s="9"/>
      <c r="AU783" s="9"/>
      <c r="AV783" s="9"/>
      <c r="AW783" s="9"/>
      <c r="AX783" s="9"/>
    </row>
    <row r="784" spans="1:50" ht="15.75" customHeight="1" x14ac:dyDescent="0.2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212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  <c r="AA784" s="212"/>
      <c r="AB784" s="9"/>
      <c r="AC784" s="9"/>
      <c r="AD784" s="9"/>
      <c r="AE784" s="9"/>
      <c r="AF784" s="9"/>
      <c r="AG784" s="9"/>
      <c r="AH784" s="9"/>
      <c r="AI784" s="9"/>
      <c r="AJ784" s="9"/>
      <c r="AK784" s="9"/>
      <c r="AL784" s="9"/>
      <c r="AM784" s="9"/>
      <c r="AN784" s="9"/>
      <c r="AO784" s="9"/>
      <c r="AP784" s="9"/>
      <c r="AQ784" s="9"/>
      <c r="AR784" s="9"/>
      <c r="AS784" s="9"/>
      <c r="AT784" s="9"/>
      <c r="AU784" s="9"/>
      <c r="AV784" s="9"/>
      <c r="AW784" s="9"/>
      <c r="AX784" s="9"/>
    </row>
    <row r="785" spans="1:50" ht="15.75" customHeight="1" x14ac:dyDescent="0.2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212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  <c r="AA785" s="212"/>
      <c r="AB785" s="9"/>
      <c r="AC785" s="9"/>
      <c r="AD785" s="9"/>
      <c r="AE785" s="9"/>
      <c r="AF785" s="9"/>
      <c r="AG785" s="9"/>
      <c r="AH785" s="9"/>
      <c r="AI785" s="9"/>
      <c r="AJ785" s="9"/>
      <c r="AK785" s="9"/>
      <c r="AL785" s="9"/>
      <c r="AM785" s="9"/>
      <c r="AN785" s="9"/>
      <c r="AO785" s="9"/>
      <c r="AP785" s="9"/>
      <c r="AQ785" s="9"/>
      <c r="AR785" s="9"/>
      <c r="AS785" s="9"/>
      <c r="AT785" s="9"/>
      <c r="AU785" s="9"/>
      <c r="AV785" s="9"/>
      <c r="AW785" s="9"/>
      <c r="AX785" s="9"/>
    </row>
    <row r="786" spans="1:50" ht="15.75" customHeight="1" x14ac:dyDescent="0.2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212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  <c r="AA786" s="212"/>
      <c r="AB786" s="9"/>
      <c r="AC786" s="9"/>
      <c r="AD786" s="9"/>
      <c r="AE786" s="9"/>
      <c r="AF786" s="9"/>
      <c r="AG786" s="9"/>
      <c r="AH786" s="9"/>
      <c r="AI786" s="9"/>
      <c r="AJ786" s="9"/>
      <c r="AK786" s="9"/>
      <c r="AL786" s="9"/>
      <c r="AM786" s="9"/>
      <c r="AN786" s="9"/>
      <c r="AO786" s="9"/>
      <c r="AP786" s="9"/>
      <c r="AQ786" s="9"/>
      <c r="AR786" s="9"/>
      <c r="AS786" s="9"/>
      <c r="AT786" s="9"/>
      <c r="AU786" s="9"/>
      <c r="AV786" s="9"/>
      <c r="AW786" s="9"/>
      <c r="AX786" s="9"/>
    </row>
    <row r="787" spans="1:50" ht="15.75" customHeight="1" x14ac:dyDescent="0.2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212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  <c r="AA787" s="212"/>
      <c r="AB787" s="9"/>
      <c r="AC787" s="9"/>
      <c r="AD787" s="9"/>
      <c r="AE787" s="9"/>
      <c r="AF787" s="9"/>
      <c r="AG787" s="9"/>
      <c r="AH787" s="9"/>
      <c r="AI787" s="9"/>
      <c r="AJ787" s="9"/>
      <c r="AK787" s="9"/>
      <c r="AL787" s="9"/>
      <c r="AM787" s="9"/>
      <c r="AN787" s="9"/>
      <c r="AO787" s="9"/>
      <c r="AP787" s="9"/>
      <c r="AQ787" s="9"/>
      <c r="AR787" s="9"/>
      <c r="AS787" s="9"/>
      <c r="AT787" s="9"/>
      <c r="AU787" s="9"/>
      <c r="AV787" s="9"/>
      <c r="AW787" s="9"/>
      <c r="AX787" s="9"/>
    </row>
    <row r="788" spans="1:50" ht="15.75" customHeight="1" x14ac:dyDescent="0.2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212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  <c r="AA788" s="212"/>
      <c r="AB788" s="9"/>
      <c r="AC788" s="9"/>
      <c r="AD788" s="9"/>
      <c r="AE788" s="9"/>
      <c r="AF788" s="9"/>
      <c r="AG788" s="9"/>
      <c r="AH788" s="9"/>
      <c r="AI788" s="9"/>
      <c r="AJ788" s="9"/>
      <c r="AK788" s="9"/>
      <c r="AL788" s="9"/>
      <c r="AM788" s="9"/>
      <c r="AN788" s="9"/>
      <c r="AO788" s="9"/>
      <c r="AP788" s="9"/>
      <c r="AQ788" s="9"/>
      <c r="AR788" s="9"/>
      <c r="AS788" s="9"/>
      <c r="AT788" s="9"/>
      <c r="AU788" s="9"/>
      <c r="AV788" s="9"/>
      <c r="AW788" s="9"/>
      <c r="AX788" s="9"/>
    </row>
    <row r="789" spans="1:50" ht="15.75" customHeight="1" x14ac:dyDescent="0.2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212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  <c r="AA789" s="212"/>
      <c r="AB789" s="9"/>
      <c r="AC789" s="9"/>
      <c r="AD789" s="9"/>
      <c r="AE789" s="9"/>
      <c r="AF789" s="9"/>
      <c r="AG789" s="9"/>
      <c r="AH789" s="9"/>
      <c r="AI789" s="9"/>
      <c r="AJ789" s="9"/>
      <c r="AK789" s="9"/>
      <c r="AL789" s="9"/>
      <c r="AM789" s="9"/>
      <c r="AN789" s="9"/>
      <c r="AO789" s="9"/>
      <c r="AP789" s="9"/>
      <c r="AQ789" s="9"/>
      <c r="AR789" s="9"/>
      <c r="AS789" s="9"/>
      <c r="AT789" s="9"/>
      <c r="AU789" s="9"/>
      <c r="AV789" s="9"/>
      <c r="AW789" s="9"/>
      <c r="AX789" s="9"/>
    </row>
    <row r="790" spans="1:50" ht="15.75" customHeight="1" x14ac:dyDescent="0.2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212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  <c r="AA790" s="212"/>
      <c r="AB790" s="9"/>
      <c r="AC790" s="9"/>
      <c r="AD790" s="9"/>
      <c r="AE790" s="9"/>
      <c r="AF790" s="9"/>
      <c r="AG790" s="9"/>
      <c r="AH790" s="9"/>
      <c r="AI790" s="9"/>
      <c r="AJ790" s="9"/>
      <c r="AK790" s="9"/>
      <c r="AL790" s="9"/>
      <c r="AM790" s="9"/>
      <c r="AN790" s="9"/>
      <c r="AO790" s="9"/>
      <c r="AP790" s="9"/>
      <c r="AQ790" s="9"/>
      <c r="AR790" s="9"/>
      <c r="AS790" s="9"/>
      <c r="AT790" s="9"/>
      <c r="AU790" s="9"/>
      <c r="AV790" s="9"/>
      <c r="AW790" s="9"/>
      <c r="AX790" s="9"/>
    </row>
    <row r="791" spans="1:50" ht="15.75" customHeight="1" x14ac:dyDescent="0.2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212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  <c r="AA791" s="212"/>
      <c r="AB791" s="9"/>
      <c r="AC791" s="9"/>
      <c r="AD791" s="9"/>
      <c r="AE791" s="9"/>
      <c r="AF791" s="9"/>
      <c r="AG791" s="9"/>
      <c r="AH791" s="9"/>
      <c r="AI791" s="9"/>
      <c r="AJ791" s="9"/>
      <c r="AK791" s="9"/>
      <c r="AL791" s="9"/>
      <c r="AM791" s="9"/>
      <c r="AN791" s="9"/>
      <c r="AO791" s="9"/>
      <c r="AP791" s="9"/>
      <c r="AQ791" s="9"/>
      <c r="AR791" s="9"/>
      <c r="AS791" s="9"/>
      <c r="AT791" s="9"/>
      <c r="AU791" s="9"/>
      <c r="AV791" s="9"/>
      <c r="AW791" s="9"/>
      <c r="AX791" s="9"/>
    </row>
    <row r="792" spans="1:50" ht="15.75" customHeight="1" x14ac:dyDescent="0.2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212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  <c r="AA792" s="212"/>
      <c r="AB792" s="9"/>
      <c r="AC792" s="9"/>
      <c r="AD792" s="9"/>
      <c r="AE792" s="9"/>
      <c r="AF792" s="9"/>
      <c r="AG792" s="9"/>
      <c r="AH792" s="9"/>
      <c r="AI792" s="9"/>
      <c r="AJ792" s="9"/>
      <c r="AK792" s="9"/>
      <c r="AL792" s="9"/>
      <c r="AM792" s="9"/>
      <c r="AN792" s="9"/>
      <c r="AO792" s="9"/>
      <c r="AP792" s="9"/>
      <c r="AQ792" s="9"/>
      <c r="AR792" s="9"/>
      <c r="AS792" s="9"/>
      <c r="AT792" s="9"/>
      <c r="AU792" s="9"/>
      <c r="AV792" s="9"/>
      <c r="AW792" s="9"/>
      <c r="AX792" s="9"/>
    </row>
    <row r="793" spans="1:50" ht="15.75" customHeight="1" x14ac:dyDescent="0.2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212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  <c r="AA793" s="212"/>
      <c r="AB793" s="9"/>
      <c r="AC793" s="9"/>
      <c r="AD793" s="9"/>
      <c r="AE793" s="9"/>
      <c r="AF793" s="9"/>
      <c r="AG793" s="9"/>
      <c r="AH793" s="9"/>
      <c r="AI793" s="9"/>
      <c r="AJ793" s="9"/>
      <c r="AK793" s="9"/>
      <c r="AL793" s="9"/>
      <c r="AM793" s="9"/>
      <c r="AN793" s="9"/>
      <c r="AO793" s="9"/>
      <c r="AP793" s="9"/>
      <c r="AQ793" s="9"/>
      <c r="AR793" s="9"/>
      <c r="AS793" s="9"/>
      <c r="AT793" s="9"/>
      <c r="AU793" s="9"/>
      <c r="AV793" s="9"/>
      <c r="AW793" s="9"/>
      <c r="AX793" s="9"/>
    </row>
    <row r="794" spans="1:50" ht="15.75" customHeight="1" x14ac:dyDescent="0.2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212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  <c r="AA794" s="212"/>
      <c r="AB794" s="9"/>
      <c r="AC794" s="9"/>
      <c r="AD794" s="9"/>
      <c r="AE794" s="9"/>
      <c r="AF794" s="9"/>
      <c r="AG794" s="9"/>
      <c r="AH794" s="9"/>
      <c r="AI794" s="9"/>
      <c r="AJ794" s="9"/>
      <c r="AK794" s="9"/>
      <c r="AL794" s="9"/>
      <c r="AM794" s="9"/>
      <c r="AN794" s="9"/>
      <c r="AO794" s="9"/>
      <c r="AP794" s="9"/>
      <c r="AQ794" s="9"/>
      <c r="AR794" s="9"/>
      <c r="AS794" s="9"/>
      <c r="AT794" s="9"/>
      <c r="AU794" s="9"/>
      <c r="AV794" s="9"/>
      <c r="AW794" s="9"/>
      <c r="AX794" s="9"/>
    </row>
    <row r="795" spans="1:50" ht="15.75" customHeight="1" x14ac:dyDescent="0.2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212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  <c r="AA795" s="212"/>
      <c r="AB795" s="9"/>
      <c r="AC795" s="9"/>
      <c r="AD795" s="9"/>
      <c r="AE795" s="9"/>
      <c r="AF795" s="9"/>
      <c r="AG795" s="9"/>
      <c r="AH795" s="9"/>
      <c r="AI795" s="9"/>
      <c r="AJ795" s="9"/>
      <c r="AK795" s="9"/>
      <c r="AL795" s="9"/>
      <c r="AM795" s="9"/>
      <c r="AN795" s="9"/>
      <c r="AO795" s="9"/>
      <c r="AP795" s="9"/>
      <c r="AQ795" s="9"/>
      <c r="AR795" s="9"/>
      <c r="AS795" s="9"/>
      <c r="AT795" s="9"/>
      <c r="AU795" s="9"/>
      <c r="AV795" s="9"/>
      <c r="AW795" s="9"/>
      <c r="AX795" s="9"/>
    </row>
    <row r="796" spans="1:50" ht="15.75" customHeight="1" x14ac:dyDescent="0.2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212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  <c r="AA796" s="212"/>
      <c r="AB796" s="9"/>
      <c r="AC796" s="9"/>
      <c r="AD796" s="9"/>
      <c r="AE796" s="9"/>
      <c r="AF796" s="9"/>
      <c r="AG796" s="9"/>
      <c r="AH796" s="9"/>
      <c r="AI796" s="9"/>
      <c r="AJ796" s="9"/>
      <c r="AK796" s="9"/>
      <c r="AL796" s="9"/>
      <c r="AM796" s="9"/>
      <c r="AN796" s="9"/>
      <c r="AO796" s="9"/>
      <c r="AP796" s="9"/>
      <c r="AQ796" s="9"/>
      <c r="AR796" s="9"/>
      <c r="AS796" s="9"/>
      <c r="AT796" s="9"/>
      <c r="AU796" s="9"/>
      <c r="AV796" s="9"/>
      <c r="AW796" s="9"/>
      <c r="AX796" s="9"/>
    </row>
    <row r="797" spans="1:50" ht="15.75" customHeight="1" x14ac:dyDescent="0.2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212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  <c r="AA797" s="212"/>
      <c r="AB797" s="9"/>
      <c r="AC797" s="9"/>
      <c r="AD797" s="9"/>
      <c r="AE797" s="9"/>
      <c r="AF797" s="9"/>
      <c r="AG797" s="9"/>
      <c r="AH797" s="9"/>
      <c r="AI797" s="9"/>
      <c r="AJ797" s="9"/>
      <c r="AK797" s="9"/>
      <c r="AL797" s="9"/>
      <c r="AM797" s="9"/>
      <c r="AN797" s="9"/>
      <c r="AO797" s="9"/>
      <c r="AP797" s="9"/>
      <c r="AQ797" s="9"/>
      <c r="AR797" s="9"/>
      <c r="AS797" s="9"/>
      <c r="AT797" s="9"/>
      <c r="AU797" s="9"/>
      <c r="AV797" s="9"/>
      <c r="AW797" s="9"/>
      <c r="AX797" s="9"/>
    </row>
    <row r="798" spans="1:50" ht="15.75" customHeight="1" x14ac:dyDescent="0.2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212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  <c r="AA798" s="212"/>
      <c r="AB798" s="9"/>
      <c r="AC798" s="9"/>
      <c r="AD798" s="9"/>
      <c r="AE798" s="9"/>
      <c r="AF798" s="9"/>
      <c r="AG798" s="9"/>
      <c r="AH798" s="9"/>
      <c r="AI798" s="9"/>
      <c r="AJ798" s="9"/>
      <c r="AK798" s="9"/>
      <c r="AL798" s="9"/>
      <c r="AM798" s="9"/>
      <c r="AN798" s="9"/>
      <c r="AO798" s="9"/>
      <c r="AP798" s="9"/>
      <c r="AQ798" s="9"/>
      <c r="AR798" s="9"/>
      <c r="AS798" s="9"/>
      <c r="AT798" s="9"/>
      <c r="AU798" s="9"/>
      <c r="AV798" s="9"/>
      <c r="AW798" s="9"/>
      <c r="AX798" s="9"/>
    </row>
    <row r="799" spans="1:50" ht="15.75" customHeight="1" x14ac:dyDescent="0.2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212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  <c r="AA799" s="212"/>
      <c r="AB799" s="9"/>
      <c r="AC799" s="9"/>
      <c r="AD799" s="9"/>
      <c r="AE799" s="9"/>
      <c r="AF799" s="9"/>
      <c r="AG799" s="9"/>
      <c r="AH799" s="9"/>
      <c r="AI799" s="9"/>
      <c r="AJ799" s="9"/>
      <c r="AK799" s="9"/>
      <c r="AL799" s="9"/>
      <c r="AM799" s="9"/>
      <c r="AN799" s="9"/>
      <c r="AO799" s="9"/>
      <c r="AP799" s="9"/>
      <c r="AQ799" s="9"/>
      <c r="AR799" s="9"/>
      <c r="AS799" s="9"/>
      <c r="AT799" s="9"/>
      <c r="AU799" s="9"/>
      <c r="AV799" s="9"/>
      <c r="AW799" s="9"/>
      <c r="AX799" s="9"/>
    </row>
    <row r="800" spans="1:50" ht="15.75" customHeight="1" x14ac:dyDescent="0.2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212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  <c r="AA800" s="212"/>
      <c r="AB800" s="9"/>
      <c r="AC800" s="9"/>
      <c r="AD800" s="9"/>
      <c r="AE800" s="9"/>
      <c r="AF800" s="9"/>
      <c r="AG800" s="9"/>
      <c r="AH800" s="9"/>
      <c r="AI800" s="9"/>
      <c r="AJ800" s="9"/>
      <c r="AK800" s="9"/>
      <c r="AL800" s="9"/>
      <c r="AM800" s="9"/>
      <c r="AN800" s="9"/>
      <c r="AO800" s="9"/>
      <c r="AP800" s="9"/>
      <c r="AQ800" s="9"/>
      <c r="AR800" s="9"/>
      <c r="AS800" s="9"/>
      <c r="AT800" s="9"/>
      <c r="AU800" s="9"/>
      <c r="AV800" s="9"/>
      <c r="AW800" s="9"/>
      <c r="AX800" s="9"/>
    </row>
    <row r="801" spans="1:50" ht="15.75" customHeight="1" x14ac:dyDescent="0.2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212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  <c r="AA801" s="212"/>
      <c r="AB801" s="9"/>
      <c r="AC801" s="9"/>
      <c r="AD801" s="9"/>
      <c r="AE801" s="9"/>
      <c r="AF801" s="9"/>
      <c r="AG801" s="9"/>
      <c r="AH801" s="9"/>
      <c r="AI801" s="9"/>
      <c r="AJ801" s="9"/>
      <c r="AK801" s="9"/>
      <c r="AL801" s="9"/>
      <c r="AM801" s="9"/>
      <c r="AN801" s="9"/>
      <c r="AO801" s="9"/>
      <c r="AP801" s="9"/>
      <c r="AQ801" s="9"/>
      <c r="AR801" s="9"/>
      <c r="AS801" s="9"/>
      <c r="AT801" s="9"/>
      <c r="AU801" s="9"/>
      <c r="AV801" s="9"/>
      <c r="AW801" s="9"/>
      <c r="AX801" s="9"/>
    </row>
    <row r="802" spans="1:50" ht="15.75" customHeight="1" x14ac:dyDescent="0.2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212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  <c r="AA802" s="212"/>
      <c r="AB802" s="9"/>
      <c r="AC802" s="9"/>
      <c r="AD802" s="9"/>
      <c r="AE802" s="9"/>
      <c r="AF802" s="9"/>
      <c r="AG802" s="9"/>
      <c r="AH802" s="9"/>
      <c r="AI802" s="9"/>
      <c r="AJ802" s="9"/>
      <c r="AK802" s="9"/>
      <c r="AL802" s="9"/>
      <c r="AM802" s="9"/>
      <c r="AN802" s="9"/>
      <c r="AO802" s="9"/>
      <c r="AP802" s="9"/>
      <c r="AQ802" s="9"/>
      <c r="AR802" s="9"/>
      <c r="AS802" s="9"/>
      <c r="AT802" s="9"/>
      <c r="AU802" s="9"/>
      <c r="AV802" s="9"/>
      <c r="AW802" s="9"/>
      <c r="AX802" s="9"/>
    </row>
    <row r="803" spans="1:50" ht="15.75" customHeight="1" x14ac:dyDescent="0.2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212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  <c r="AA803" s="212"/>
      <c r="AB803" s="9"/>
      <c r="AC803" s="9"/>
      <c r="AD803" s="9"/>
      <c r="AE803" s="9"/>
      <c r="AF803" s="9"/>
      <c r="AG803" s="9"/>
      <c r="AH803" s="9"/>
      <c r="AI803" s="9"/>
      <c r="AJ803" s="9"/>
      <c r="AK803" s="9"/>
      <c r="AL803" s="9"/>
      <c r="AM803" s="9"/>
      <c r="AN803" s="9"/>
      <c r="AO803" s="9"/>
      <c r="AP803" s="9"/>
      <c r="AQ803" s="9"/>
      <c r="AR803" s="9"/>
      <c r="AS803" s="9"/>
      <c r="AT803" s="9"/>
      <c r="AU803" s="9"/>
      <c r="AV803" s="9"/>
      <c r="AW803" s="9"/>
      <c r="AX803" s="9"/>
    </row>
    <row r="804" spans="1:50" ht="15.75" customHeight="1" x14ac:dyDescent="0.2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212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  <c r="AA804" s="212"/>
      <c r="AB804" s="9"/>
      <c r="AC804" s="9"/>
      <c r="AD804" s="9"/>
      <c r="AE804" s="9"/>
      <c r="AF804" s="9"/>
      <c r="AG804" s="9"/>
      <c r="AH804" s="9"/>
      <c r="AI804" s="9"/>
      <c r="AJ804" s="9"/>
      <c r="AK804" s="9"/>
      <c r="AL804" s="9"/>
      <c r="AM804" s="9"/>
      <c r="AN804" s="9"/>
      <c r="AO804" s="9"/>
      <c r="AP804" s="9"/>
      <c r="AQ804" s="9"/>
      <c r="AR804" s="9"/>
      <c r="AS804" s="9"/>
      <c r="AT804" s="9"/>
      <c r="AU804" s="9"/>
      <c r="AV804" s="9"/>
      <c r="AW804" s="9"/>
      <c r="AX804" s="9"/>
    </row>
    <row r="805" spans="1:50" ht="15.75" customHeight="1" x14ac:dyDescent="0.2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212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  <c r="AA805" s="212"/>
      <c r="AB805" s="9"/>
      <c r="AC805" s="9"/>
      <c r="AD805" s="9"/>
      <c r="AE805" s="9"/>
      <c r="AF805" s="9"/>
      <c r="AG805" s="9"/>
      <c r="AH805" s="9"/>
      <c r="AI805" s="9"/>
      <c r="AJ805" s="9"/>
      <c r="AK805" s="9"/>
      <c r="AL805" s="9"/>
      <c r="AM805" s="9"/>
      <c r="AN805" s="9"/>
      <c r="AO805" s="9"/>
      <c r="AP805" s="9"/>
      <c r="AQ805" s="9"/>
      <c r="AR805" s="9"/>
      <c r="AS805" s="9"/>
      <c r="AT805" s="9"/>
      <c r="AU805" s="9"/>
      <c r="AV805" s="9"/>
      <c r="AW805" s="9"/>
      <c r="AX805" s="9"/>
    </row>
    <row r="806" spans="1:50" ht="15.75" customHeight="1" x14ac:dyDescent="0.2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212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  <c r="AA806" s="212"/>
      <c r="AB806" s="9"/>
      <c r="AC806" s="9"/>
      <c r="AD806" s="9"/>
      <c r="AE806" s="9"/>
      <c r="AF806" s="9"/>
      <c r="AG806" s="9"/>
      <c r="AH806" s="9"/>
      <c r="AI806" s="9"/>
      <c r="AJ806" s="9"/>
      <c r="AK806" s="9"/>
      <c r="AL806" s="9"/>
      <c r="AM806" s="9"/>
      <c r="AN806" s="9"/>
      <c r="AO806" s="9"/>
      <c r="AP806" s="9"/>
      <c r="AQ806" s="9"/>
      <c r="AR806" s="9"/>
      <c r="AS806" s="9"/>
      <c r="AT806" s="9"/>
      <c r="AU806" s="9"/>
      <c r="AV806" s="9"/>
      <c r="AW806" s="9"/>
      <c r="AX806" s="9"/>
    </row>
    <row r="807" spans="1:50" ht="15.75" customHeight="1" x14ac:dyDescent="0.2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212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  <c r="AA807" s="212"/>
      <c r="AB807" s="9"/>
      <c r="AC807" s="9"/>
      <c r="AD807" s="9"/>
      <c r="AE807" s="9"/>
      <c r="AF807" s="9"/>
      <c r="AG807" s="9"/>
      <c r="AH807" s="9"/>
      <c r="AI807" s="9"/>
      <c r="AJ807" s="9"/>
      <c r="AK807" s="9"/>
      <c r="AL807" s="9"/>
      <c r="AM807" s="9"/>
      <c r="AN807" s="9"/>
      <c r="AO807" s="9"/>
      <c r="AP807" s="9"/>
      <c r="AQ807" s="9"/>
      <c r="AR807" s="9"/>
      <c r="AS807" s="9"/>
      <c r="AT807" s="9"/>
      <c r="AU807" s="9"/>
      <c r="AV807" s="9"/>
      <c r="AW807" s="9"/>
      <c r="AX807" s="9"/>
    </row>
    <row r="808" spans="1:50" ht="15.75" customHeight="1" x14ac:dyDescent="0.2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212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  <c r="AA808" s="212"/>
      <c r="AB808" s="9"/>
      <c r="AC808" s="9"/>
      <c r="AD808" s="9"/>
      <c r="AE808" s="9"/>
      <c r="AF808" s="9"/>
      <c r="AG808" s="9"/>
      <c r="AH808" s="9"/>
      <c r="AI808" s="9"/>
      <c r="AJ808" s="9"/>
      <c r="AK808" s="9"/>
      <c r="AL808" s="9"/>
      <c r="AM808" s="9"/>
      <c r="AN808" s="9"/>
      <c r="AO808" s="9"/>
      <c r="AP808" s="9"/>
      <c r="AQ808" s="9"/>
      <c r="AR808" s="9"/>
      <c r="AS808" s="9"/>
      <c r="AT808" s="9"/>
      <c r="AU808" s="9"/>
      <c r="AV808" s="9"/>
      <c r="AW808" s="9"/>
      <c r="AX808" s="9"/>
    </row>
    <row r="809" spans="1:50" ht="15.75" customHeight="1" x14ac:dyDescent="0.2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212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  <c r="AA809" s="212"/>
      <c r="AB809" s="9"/>
      <c r="AC809" s="9"/>
      <c r="AD809" s="9"/>
      <c r="AE809" s="9"/>
      <c r="AF809" s="9"/>
      <c r="AG809" s="9"/>
      <c r="AH809" s="9"/>
      <c r="AI809" s="9"/>
      <c r="AJ809" s="9"/>
      <c r="AK809" s="9"/>
      <c r="AL809" s="9"/>
      <c r="AM809" s="9"/>
      <c r="AN809" s="9"/>
      <c r="AO809" s="9"/>
      <c r="AP809" s="9"/>
      <c r="AQ809" s="9"/>
      <c r="AR809" s="9"/>
      <c r="AS809" s="9"/>
      <c r="AT809" s="9"/>
      <c r="AU809" s="9"/>
      <c r="AV809" s="9"/>
      <c r="AW809" s="9"/>
      <c r="AX809" s="9"/>
    </row>
    <row r="810" spans="1:50" ht="15.75" customHeight="1" x14ac:dyDescent="0.2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212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  <c r="AA810" s="212"/>
      <c r="AB810" s="9"/>
      <c r="AC810" s="9"/>
      <c r="AD810" s="9"/>
      <c r="AE810" s="9"/>
      <c r="AF810" s="9"/>
      <c r="AG810" s="9"/>
      <c r="AH810" s="9"/>
      <c r="AI810" s="9"/>
      <c r="AJ810" s="9"/>
      <c r="AK810" s="9"/>
      <c r="AL810" s="9"/>
      <c r="AM810" s="9"/>
      <c r="AN810" s="9"/>
      <c r="AO810" s="9"/>
      <c r="AP810" s="9"/>
      <c r="AQ810" s="9"/>
      <c r="AR810" s="9"/>
      <c r="AS810" s="9"/>
      <c r="AT810" s="9"/>
      <c r="AU810" s="9"/>
      <c r="AV810" s="9"/>
      <c r="AW810" s="9"/>
      <c r="AX810" s="9"/>
    </row>
    <row r="811" spans="1:50" ht="15.75" customHeight="1" x14ac:dyDescent="0.2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212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  <c r="AA811" s="212"/>
      <c r="AB811" s="9"/>
      <c r="AC811" s="9"/>
      <c r="AD811" s="9"/>
      <c r="AE811" s="9"/>
      <c r="AF811" s="9"/>
      <c r="AG811" s="9"/>
      <c r="AH811" s="9"/>
      <c r="AI811" s="9"/>
      <c r="AJ811" s="9"/>
      <c r="AK811" s="9"/>
      <c r="AL811" s="9"/>
      <c r="AM811" s="9"/>
      <c r="AN811" s="9"/>
      <c r="AO811" s="9"/>
      <c r="AP811" s="9"/>
      <c r="AQ811" s="9"/>
      <c r="AR811" s="9"/>
      <c r="AS811" s="9"/>
      <c r="AT811" s="9"/>
      <c r="AU811" s="9"/>
      <c r="AV811" s="9"/>
      <c r="AW811" s="9"/>
      <c r="AX811" s="9"/>
    </row>
    <row r="812" spans="1:50" ht="15.75" customHeight="1" x14ac:dyDescent="0.2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212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  <c r="AA812" s="212"/>
      <c r="AB812" s="9"/>
      <c r="AC812" s="9"/>
      <c r="AD812" s="9"/>
      <c r="AE812" s="9"/>
      <c r="AF812" s="9"/>
      <c r="AG812" s="9"/>
      <c r="AH812" s="9"/>
      <c r="AI812" s="9"/>
      <c r="AJ812" s="9"/>
      <c r="AK812" s="9"/>
      <c r="AL812" s="9"/>
      <c r="AM812" s="9"/>
      <c r="AN812" s="9"/>
      <c r="AO812" s="9"/>
      <c r="AP812" s="9"/>
      <c r="AQ812" s="9"/>
      <c r="AR812" s="9"/>
      <c r="AS812" s="9"/>
      <c r="AT812" s="9"/>
      <c r="AU812" s="9"/>
      <c r="AV812" s="9"/>
      <c r="AW812" s="9"/>
      <c r="AX812" s="9"/>
    </row>
    <row r="813" spans="1:50" ht="15.75" customHeight="1" x14ac:dyDescent="0.2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212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  <c r="AA813" s="212"/>
      <c r="AB813" s="9"/>
      <c r="AC813" s="9"/>
      <c r="AD813" s="9"/>
      <c r="AE813" s="9"/>
      <c r="AF813" s="9"/>
      <c r="AG813" s="9"/>
      <c r="AH813" s="9"/>
      <c r="AI813" s="9"/>
      <c r="AJ813" s="9"/>
      <c r="AK813" s="9"/>
      <c r="AL813" s="9"/>
      <c r="AM813" s="9"/>
      <c r="AN813" s="9"/>
      <c r="AO813" s="9"/>
      <c r="AP813" s="9"/>
      <c r="AQ813" s="9"/>
      <c r="AR813" s="9"/>
      <c r="AS813" s="9"/>
      <c r="AT813" s="9"/>
      <c r="AU813" s="9"/>
      <c r="AV813" s="9"/>
      <c r="AW813" s="9"/>
      <c r="AX813" s="9"/>
    </row>
    <row r="814" spans="1:50" ht="15.75" customHeight="1" x14ac:dyDescent="0.2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212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  <c r="AA814" s="212"/>
      <c r="AB814" s="9"/>
      <c r="AC814" s="9"/>
      <c r="AD814" s="9"/>
      <c r="AE814" s="9"/>
      <c r="AF814" s="9"/>
      <c r="AG814" s="9"/>
      <c r="AH814" s="9"/>
      <c r="AI814" s="9"/>
      <c r="AJ814" s="9"/>
      <c r="AK814" s="9"/>
      <c r="AL814" s="9"/>
      <c r="AM814" s="9"/>
      <c r="AN814" s="9"/>
      <c r="AO814" s="9"/>
      <c r="AP814" s="9"/>
      <c r="AQ814" s="9"/>
      <c r="AR814" s="9"/>
      <c r="AS814" s="9"/>
      <c r="AT814" s="9"/>
      <c r="AU814" s="9"/>
      <c r="AV814" s="9"/>
      <c r="AW814" s="9"/>
      <c r="AX814" s="9"/>
    </row>
    <row r="815" spans="1:50" ht="15.75" customHeight="1" x14ac:dyDescent="0.2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212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  <c r="AA815" s="212"/>
      <c r="AB815" s="9"/>
      <c r="AC815" s="9"/>
      <c r="AD815" s="9"/>
      <c r="AE815" s="9"/>
      <c r="AF815" s="9"/>
      <c r="AG815" s="9"/>
      <c r="AH815" s="9"/>
      <c r="AI815" s="9"/>
      <c r="AJ815" s="9"/>
      <c r="AK815" s="9"/>
      <c r="AL815" s="9"/>
      <c r="AM815" s="9"/>
      <c r="AN815" s="9"/>
      <c r="AO815" s="9"/>
      <c r="AP815" s="9"/>
      <c r="AQ815" s="9"/>
      <c r="AR815" s="9"/>
      <c r="AS815" s="9"/>
      <c r="AT815" s="9"/>
      <c r="AU815" s="9"/>
      <c r="AV815" s="9"/>
      <c r="AW815" s="9"/>
      <c r="AX815" s="9"/>
    </row>
    <row r="816" spans="1:50" ht="15.75" customHeight="1" x14ac:dyDescent="0.2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212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  <c r="AA816" s="212"/>
      <c r="AB816" s="9"/>
      <c r="AC816" s="9"/>
      <c r="AD816" s="9"/>
      <c r="AE816" s="9"/>
      <c r="AF816" s="9"/>
      <c r="AG816" s="9"/>
      <c r="AH816" s="9"/>
      <c r="AI816" s="9"/>
      <c r="AJ816" s="9"/>
      <c r="AK816" s="9"/>
      <c r="AL816" s="9"/>
      <c r="AM816" s="9"/>
      <c r="AN816" s="9"/>
      <c r="AO816" s="9"/>
      <c r="AP816" s="9"/>
      <c r="AQ816" s="9"/>
      <c r="AR816" s="9"/>
      <c r="AS816" s="9"/>
      <c r="AT816" s="9"/>
      <c r="AU816" s="9"/>
      <c r="AV816" s="9"/>
      <c r="AW816" s="9"/>
      <c r="AX816" s="9"/>
    </row>
    <row r="817" spans="1:50" ht="15.75" customHeight="1" x14ac:dyDescent="0.2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212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  <c r="AA817" s="212"/>
      <c r="AB817" s="9"/>
      <c r="AC817" s="9"/>
      <c r="AD817" s="9"/>
      <c r="AE817" s="9"/>
      <c r="AF817" s="9"/>
      <c r="AG817" s="9"/>
      <c r="AH817" s="9"/>
      <c r="AI817" s="9"/>
      <c r="AJ817" s="9"/>
      <c r="AK817" s="9"/>
      <c r="AL817" s="9"/>
      <c r="AM817" s="9"/>
      <c r="AN817" s="9"/>
      <c r="AO817" s="9"/>
      <c r="AP817" s="9"/>
      <c r="AQ817" s="9"/>
      <c r="AR817" s="9"/>
      <c r="AS817" s="9"/>
      <c r="AT817" s="9"/>
      <c r="AU817" s="9"/>
      <c r="AV817" s="9"/>
      <c r="AW817" s="9"/>
      <c r="AX817" s="9"/>
    </row>
    <row r="818" spans="1:50" ht="15.75" customHeight="1" x14ac:dyDescent="0.2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212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  <c r="AA818" s="212"/>
      <c r="AB818" s="9"/>
      <c r="AC818" s="9"/>
      <c r="AD818" s="9"/>
      <c r="AE818" s="9"/>
      <c r="AF818" s="9"/>
      <c r="AG818" s="9"/>
      <c r="AH818" s="9"/>
      <c r="AI818" s="9"/>
      <c r="AJ818" s="9"/>
      <c r="AK818" s="9"/>
      <c r="AL818" s="9"/>
      <c r="AM818" s="9"/>
      <c r="AN818" s="9"/>
      <c r="AO818" s="9"/>
      <c r="AP818" s="9"/>
      <c r="AQ818" s="9"/>
      <c r="AR818" s="9"/>
      <c r="AS818" s="9"/>
      <c r="AT818" s="9"/>
      <c r="AU818" s="9"/>
      <c r="AV818" s="9"/>
      <c r="AW818" s="9"/>
      <c r="AX818" s="9"/>
    </row>
    <row r="819" spans="1:50" ht="15.75" customHeight="1" x14ac:dyDescent="0.2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212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  <c r="AA819" s="212"/>
      <c r="AB819" s="9"/>
      <c r="AC819" s="9"/>
      <c r="AD819" s="9"/>
      <c r="AE819" s="9"/>
      <c r="AF819" s="9"/>
      <c r="AG819" s="9"/>
      <c r="AH819" s="9"/>
      <c r="AI819" s="9"/>
      <c r="AJ819" s="9"/>
      <c r="AK819" s="9"/>
      <c r="AL819" s="9"/>
      <c r="AM819" s="9"/>
      <c r="AN819" s="9"/>
      <c r="AO819" s="9"/>
      <c r="AP819" s="9"/>
      <c r="AQ819" s="9"/>
      <c r="AR819" s="9"/>
      <c r="AS819" s="9"/>
      <c r="AT819" s="9"/>
      <c r="AU819" s="9"/>
      <c r="AV819" s="9"/>
      <c r="AW819" s="9"/>
      <c r="AX819" s="9"/>
    </row>
    <row r="820" spans="1:50" ht="15.75" customHeight="1" x14ac:dyDescent="0.2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212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  <c r="AA820" s="212"/>
      <c r="AB820" s="9"/>
      <c r="AC820" s="9"/>
      <c r="AD820" s="9"/>
      <c r="AE820" s="9"/>
      <c r="AF820" s="9"/>
      <c r="AG820" s="9"/>
      <c r="AH820" s="9"/>
      <c r="AI820" s="9"/>
      <c r="AJ820" s="9"/>
      <c r="AK820" s="9"/>
      <c r="AL820" s="9"/>
      <c r="AM820" s="9"/>
      <c r="AN820" s="9"/>
      <c r="AO820" s="9"/>
      <c r="AP820" s="9"/>
      <c r="AQ820" s="9"/>
      <c r="AR820" s="9"/>
      <c r="AS820" s="9"/>
      <c r="AT820" s="9"/>
      <c r="AU820" s="9"/>
      <c r="AV820" s="9"/>
      <c r="AW820" s="9"/>
      <c r="AX820" s="9"/>
    </row>
    <row r="821" spans="1:50" ht="15.75" customHeight="1" x14ac:dyDescent="0.2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212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  <c r="AA821" s="212"/>
      <c r="AB821" s="9"/>
      <c r="AC821" s="9"/>
      <c r="AD821" s="9"/>
      <c r="AE821" s="9"/>
      <c r="AF821" s="9"/>
      <c r="AG821" s="9"/>
      <c r="AH821" s="9"/>
      <c r="AI821" s="9"/>
      <c r="AJ821" s="9"/>
      <c r="AK821" s="9"/>
      <c r="AL821" s="9"/>
      <c r="AM821" s="9"/>
      <c r="AN821" s="9"/>
      <c r="AO821" s="9"/>
      <c r="AP821" s="9"/>
      <c r="AQ821" s="9"/>
      <c r="AR821" s="9"/>
      <c r="AS821" s="9"/>
      <c r="AT821" s="9"/>
      <c r="AU821" s="9"/>
      <c r="AV821" s="9"/>
      <c r="AW821" s="9"/>
      <c r="AX821" s="9"/>
    </row>
    <row r="822" spans="1:50" ht="15.75" customHeight="1" x14ac:dyDescent="0.2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212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  <c r="AA822" s="212"/>
      <c r="AB822" s="9"/>
      <c r="AC822" s="9"/>
      <c r="AD822" s="9"/>
      <c r="AE822" s="9"/>
      <c r="AF822" s="9"/>
      <c r="AG822" s="9"/>
      <c r="AH822" s="9"/>
      <c r="AI822" s="9"/>
      <c r="AJ822" s="9"/>
      <c r="AK822" s="9"/>
      <c r="AL822" s="9"/>
      <c r="AM822" s="9"/>
      <c r="AN822" s="9"/>
      <c r="AO822" s="9"/>
      <c r="AP822" s="9"/>
      <c r="AQ822" s="9"/>
      <c r="AR822" s="9"/>
      <c r="AS822" s="9"/>
      <c r="AT822" s="9"/>
      <c r="AU822" s="9"/>
      <c r="AV822" s="9"/>
      <c r="AW822" s="9"/>
      <c r="AX822" s="9"/>
    </row>
    <row r="823" spans="1:50" ht="15.75" customHeight="1" x14ac:dyDescent="0.2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212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  <c r="AA823" s="212"/>
      <c r="AB823" s="9"/>
      <c r="AC823" s="9"/>
      <c r="AD823" s="9"/>
      <c r="AE823" s="9"/>
      <c r="AF823" s="9"/>
      <c r="AG823" s="9"/>
      <c r="AH823" s="9"/>
      <c r="AI823" s="9"/>
      <c r="AJ823" s="9"/>
      <c r="AK823" s="9"/>
      <c r="AL823" s="9"/>
      <c r="AM823" s="9"/>
      <c r="AN823" s="9"/>
      <c r="AO823" s="9"/>
      <c r="AP823" s="9"/>
      <c r="AQ823" s="9"/>
      <c r="AR823" s="9"/>
      <c r="AS823" s="9"/>
      <c r="AT823" s="9"/>
      <c r="AU823" s="9"/>
      <c r="AV823" s="9"/>
      <c r="AW823" s="9"/>
      <c r="AX823" s="9"/>
    </row>
    <row r="824" spans="1:50" ht="15.75" customHeight="1" x14ac:dyDescent="0.2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212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  <c r="AA824" s="212"/>
      <c r="AB824" s="9"/>
      <c r="AC824" s="9"/>
      <c r="AD824" s="9"/>
      <c r="AE824" s="9"/>
      <c r="AF824" s="9"/>
      <c r="AG824" s="9"/>
      <c r="AH824" s="9"/>
      <c r="AI824" s="9"/>
      <c r="AJ824" s="9"/>
      <c r="AK824" s="9"/>
      <c r="AL824" s="9"/>
      <c r="AM824" s="9"/>
      <c r="AN824" s="9"/>
      <c r="AO824" s="9"/>
      <c r="AP824" s="9"/>
      <c r="AQ824" s="9"/>
      <c r="AR824" s="9"/>
      <c r="AS824" s="9"/>
      <c r="AT824" s="9"/>
      <c r="AU824" s="9"/>
      <c r="AV824" s="9"/>
      <c r="AW824" s="9"/>
      <c r="AX824" s="9"/>
    </row>
    <row r="825" spans="1:50" ht="15.75" customHeight="1" x14ac:dyDescent="0.2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212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  <c r="AA825" s="212"/>
      <c r="AB825" s="9"/>
      <c r="AC825" s="9"/>
      <c r="AD825" s="9"/>
      <c r="AE825" s="9"/>
      <c r="AF825" s="9"/>
      <c r="AG825" s="9"/>
      <c r="AH825" s="9"/>
      <c r="AI825" s="9"/>
      <c r="AJ825" s="9"/>
      <c r="AK825" s="9"/>
      <c r="AL825" s="9"/>
      <c r="AM825" s="9"/>
      <c r="AN825" s="9"/>
      <c r="AO825" s="9"/>
      <c r="AP825" s="9"/>
      <c r="AQ825" s="9"/>
      <c r="AR825" s="9"/>
      <c r="AS825" s="9"/>
      <c r="AT825" s="9"/>
      <c r="AU825" s="9"/>
      <c r="AV825" s="9"/>
      <c r="AW825" s="9"/>
      <c r="AX825" s="9"/>
    </row>
    <row r="826" spans="1:50" ht="15.75" customHeight="1" x14ac:dyDescent="0.2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212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  <c r="AA826" s="212"/>
      <c r="AB826" s="9"/>
      <c r="AC826" s="9"/>
      <c r="AD826" s="9"/>
      <c r="AE826" s="9"/>
      <c r="AF826" s="9"/>
      <c r="AG826" s="9"/>
      <c r="AH826" s="9"/>
      <c r="AI826" s="9"/>
      <c r="AJ826" s="9"/>
      <c r="AK826" s="9"/>
      <c r="AL826" s="9"/>
      <c r="AM826" s="9"/>
      <c r="AN826" s="9"/>
      <c r="AO826" s="9"/>
      <c r="AP826" s="9"/>
      <c r="AQ826" s="9"/>
      <c r="AR826" s="9"/>
      <c r="AS826" s="9"/>
      <c r="AT826" s="9"/>
      <c r="AU826" s="9"/>
      <c r="AV826" s="9"/>
      <c r="AW826" s="9"/>
      <c r="AX826" s="9"/>
    </row>
    <row r="827" spans="1:50" ht="15.75" customHeight="1" x14ac:dyDescent="0.2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212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  <c r="AA827" s="212"/>
      <c r="AB827" s="9"/>
      <c r="AC827" s="9"/>
      <c r="AD827" s="9"/>
      <c r="AE827" s="9"/>
      <c r="AF827" s="9"/>
      <c r="AG827" s="9"/>
      <c r="AH827" s="9"/>
      <c r="AI827" s="9"/>
      <c r="AJ827" s="9"/>
      <c r="AK827" s="9"/>
      <c r="AL827" s="9"/>
      <c r="AM827" s="9"/>
      <c r="AN827" s="9"/>
      <c r="AO827" s="9"/>
      <c r="AP827" s="9"/>
      <c r="AQ827" s="9"/>
      <c r="AR827" s="9"/>
      <c r="AS827" s="9"/>
      <c r="AT827" s="9"/>
      <c r="AU827" s="9"/>
      <c r="AV827" s="9"/>
      <c r="AW827" s="9"/>
      <c r="AX827" s="9"/>
    </row>
    <row r="828" spans="1:50" ht="15.75" customHeight="1" x14ac:dyDescent="0.2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212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  <c r="AA828" s="212"/>
      <c r="AB828" s="9"/>
      <c r="AC828" s="9"/>
      <c r="AD828" s="9"/>
      <c r="AE828" s="9"/>
      <c r="AF828" s="9"/>
      <c r="AG828" s="9"/>
      <c r="AH828" s="9"/>
      <c r="AI828" s="9"/>
      <c r="AJ828" s="9"/>
      <c r="AK828" s="9"/>
      <c r="AL828" s="9"/>
      <c r="AM828" s="9"/>
      <c r="AN828" s="9"/>
      <c r="AO828" s="9"/>
      <c r="AP828" s="9"/>
      <c r="AQ828" s="9"/>
      <c r="AR828" s="9"/>
      <c r="AS828" s="9"/>
      <c r="AT828" s="9"/>
      <c r="AU828" s="9"/>
      <c r="AV828" s="9"/>
      <c r="AW828" s="9"/>
      <c r="AX828" s="9"/>
    </row>
    <row r="829" spans="1:50" ht="15.75" customHeight="1" x14ac:dyDescent="0.2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212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  <c r="AA829" s="212"/>
      <c r="AB829" s="9"/>
      <c r="AC829" s="9"/>
      <c r="AD829" s="9"/>
      <c r="AE829" s="9"/>
      <c r="AF829" s="9"/>
      <c r="AG829" s="9"/>
      <c r="AH829" s="9"/>
      <c r="AI829" s="9"/>
      <c r="AJ829" s="9"/>
      <c r="AK829" s="9"/>
      <c r="AL829" s="9"/>
      <c r="AM829" s="9"/>
      <c r="AN829" s="9"/>
      <c r="AO829" s="9"/>
      <c r="AP829" s="9"/>
      <c r="AQ829" s="9"/>
      <c r="AR829" s="9"/>
      <c r="AS829" s="9"/>
      <c r="AT829" s="9"/>
      <c r="AU829" s="9"/>
      <c r="AV829" s="9"/>
      <c r="AW829" s="9"/>
      <c r="AX829" s="9"/>
    </row>
    <row r="830" spans="1:50" ht="15.75" customHeight="1" x14ac:dyDescent="0.2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212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  <c r="AA830" s="212"/>
      <c r="AB830" s="9"/>
      <c r="AC830" s="9"/>
      <c r="AD830" s="9"/>
      <c r="AE830" s="9"/>
      <c r="AF830" s="9"/>
      <c r="AG830" s="9"/>
      <c r="AH830" s="9"/>
      <c r="AI830" s="9"/>
      <c r="AJ830" s="9"/>
      <c r="AK830" s="9"/>
      <c r="AL830" s="9"/>
      <c r="AM830" s="9"/>
      <c r="AN830" s="9"/>
      <c r="AO830" s="9"/>
      <c r="AP830" s="9"/>
      <c r="AQ830" s="9"/>
      <c r="AR830" s="9"/>
      <c r="AS830" s="9"/>
      <c r="AT830" s="9"/>
      <c r="AU830" s="9"/>
      <c r="AV830" s="9"/>
      <c r="AW830" s="9"/>
      <c r="AX830" s="9"/>
    </row>
    <row r="831" spans="1:50" ht="15.75" customHeight="1" x14ac:dyDescent="0.2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212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  <c r="AA831" s="212"/>
      <c r="AB831" s="9"/>
      <c r="AC831" s="9"/>
      <c r="AD831" s="9"/>
      <c r="AE831" s="9"/>
      <c r="AF831" s="9"/>
      <c r="AG831" s="9"/>
      <c r="AH831" s="9"/>
      <c r="AI831" s="9"/>
      <c r="AJ831" s="9"/>
      <c r="AK831" s="9"/>
      <c r="AL831" s="9"/>
      <c r="AM831" s="9"/>
      <c r="AN831" s="9"/>
      <c r="AO831" s="9"/>
      <c r="AP831" s="9"/>
      <c r="AQ831" s="9"/>
      <c r="AR831" s="9"/>
      <c r="AS831" s="9"/>
      <c r="AT831" s="9"/>
      <c r="AU831" s="9"/>
      <c r="AV831" s="9"/>
      <c r="AW831" s="9"/>
      <c r="AX831" s="9"/>
    </row>
    <row r="832" spans="1:50" ht="15.75" customHeight="1" x14ac:dyDescent="0.2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212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  <c r="AA832" s="212"/>
      <c r="AB832" s="9"/>
      <c r="AC832" s="9"/>
      <c r="AD832" s="9"/>
      <c r="AE832" s="9"/>
      <c r="AF832" s="9"/>
      <c r="AG832" s="9"/>
      <c r="AH832" s="9"/>
      <c r="AI832" s="9"/>
      <c r="AJ832" s="9"/>
      <c r="AK832" s="9"/>
      <c r="AL832" s="9"/>
      <c r="AM832" s="9"/>
      <c r="AN832" s="9"/>
      <c r="AO832" s="9"/>
      <c r="AP832" s="9"/>
      <c r="AQ832" s="9"/>
      <c r="AR832" s="9"/>
      <c r="AS832" s="9"/>
      <c r="AT832" s="9"/>
      <c r="AU832" s="9"/>
      <c r="AV832" s="9"/>
      <c r="AW832" s="9"/>
      <c r="AX832" s="9"/>
    </row>
    <row r="833" spans="1:50" ht="15.75" customHeight="1" x14ac:dyDescent="0.2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212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  <c r="AA833" s="212"/>
      <c r="AB833" s="9"/>
      <c r="AC833" s="9"/>
      <c r="AD833" s="9"/>
      <c r="AE833" s="9"/>
      <c r="AF833" s="9"/>
      <c r="AG833" s="9"/>
      <c r="AH833" s="9"/>
      <c r="AI833" s="9"/>
      <c r="AJ833" s="9"/>
      <c r="AK833" s="9"/>
      <c r="AL833" s="9"/>
      <c r="AM833" s="9"/>
      <c r="AN833" s="9"/>
      <c r="AO833" s="9"/>
      <c r="AP833" s="9"/>
      <c r="AQ833" s="9"/>
      <c r="AR833" s="9"/>
      <c r="AS833" s="9"/>
      <c r="AT833" s="9"/>
      <c r="AU833" s="9"/>
      <c r="AV833" s="9"/>
      <c r="AW833" s="9"/>
      <c r="AX833" s="9"/>
    </row>
    <row r="834" spans="1:50" ht="15.75" customHeight="1" x14ac:dyDescent="0.2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212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  <c r="AA834" s="212"/>
      <c r="AB834" s="9"/>
      <c r="AC834" s="9"/>
      <c r="AD834" s="9"/>
      <c r="AE834" s="9"/>
      <c r="AF834" s="9"/>
      <c r="AG834" s="9"/>
      <c r="AH834" s="9"/>
      <c r="AI834" s="9"/>
      <c r="AJ834" s="9"/>
      <c r="AK834" s="9"/>
      <c r="AL834" s="9"/>
      <c r="AM834" s="9"/>
      <c r="AN834" s="9"/>
      <c r="AO834" s="9"/>
      <c r="AP834" s="9"/>
      <c r="AQ834" s="9"/>
      <c r="AR834" s="9"/>
      <c r="AS834" s="9"/>
      <c r="AT834" s="9"/>
      <c r="AU834" s="9"/>
      <c r="AV834" s="9"/>
      <c r="AW834" s="9"/>
      <c r="AX834" s="9"/>
    </row>
    <row r="835" spans="1:50" ht="15.75" customHeight="1" x14ac:dyDescent="0.2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212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  <c r="AA835" s="212"/>
      <c r="AB835" s="9"/>
      <c r="AC835" s="9"/>
      <c r="AD835" s="9"/>
      <c r="AE835" s="9"/>
      <c r="AF835" s="9"/>
      <c r="AG835" s="9"/>
      <c r="AH835" s="9"/>
      <c r="AI835" s="9"/>
      <c r="AJ835" s="9"/>
      <c r="AK835" s="9"/>
      <c r="AL835" s="9"/>
      <c r="AM835" s="9"/>
      <c r="AN835" s="9"/>
      <c r="AO835" s="9"/>
      <c r="AP835" s="9"/>
      <c r="AQ835" s="9"/>
      <c r="AR835" s="9"/>
      <c r="AS835" s="9"/>
      <c r="AT835" s="9"/>
      <c r="AU835" s="9"/>
      <c r="AV835" s="9"/>
      <c r="AW835" s="9"/>
      <c r="AX835" s="9"/>
    </row>
    <row r="836" spans="1:50" ht="15.75" customHeight="1" x14ac:dyDescent="0.2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212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  <c r="AA836" s="212"/>
      <c r="AB836" s="9"/>
      <c r="AC836" s="9"/>
      <c r="AD836" s="9"/>
      <c r="AE836" s="9"/>
      <c r="AF836" s="9"/>
      <c r="AG836" s="9"/>
      <c r="AH836" s="9"/>
      <c r="AI836" s="9"/>
      <c r="AJ836" s="9"/>
      <c r="AK836" s="9"/>
      <c r="AL836" s="9"/>
      <c r="AM836" s="9"/>
      <c r="AN836" s="9"/>
      <c r="AO836" s="9"/>
      <c r="AP836" s="9"/>
      <c r="AQ836" s="9"/>
      <c r="AR836" s="9"/>
      <c r="AS836" s="9"/>
      <c r="AT836" s="9"/>
      <c r="AU836" s="9"/>
      <c r="AV836" s="9"/>
      <c r="AW836" s="9"/>
      <c r="AX836" s="9"/>
    </row>
    <row r="837" spans="1:50" ht="15.75" customHeight="1" x14ac:dyDescent="0.2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212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  <c r="AA837" s="212"/>
      <c r="AB837" s="9"/>
      <c r="AC837" s="9"/>
      <c r="AD837" s="9"/>
      <c r="AE837" s="9"/>
      <c r="AF837" s="9"/>
      <c r="AG837" s="9"/>
      <c r="AH837" s="9"/>
      <c r="AI837" s="9"/>
      <c r="AJ837" s="9"/>
      <c r="AK837" s="9"/>
      <c r="AL837" s="9"/>
      <c r="AM837" s="9"/>
      <c r="AN837" s="9"/>
      <c r="AO837" s="9"/>
      <c r="AP837" s="9"/>
      <c r="AQ837" s="9"/>
      <c r="AR837" s="9"/>
      <c r="AS837" s="9"/>
      <c r="AT837" s="9"/>
      <c r="AU837" s="9"/>
      <c r="AV837" s="9"/>
      <c r="AW837" s="9"/>
      <c r="AX837" s="9"/>
    </row>
    <row r="838" spans="1:50" ht="15.75" customHeight="1" x14ac:dyDescent="0.2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212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  <c r="AA838" s="212"/>
      <c r="AB838" s="9"/>
      <c r="AC838" s="9"/>
      <c r="AD838" s="9"/>
      <c r="AE838" s="9"/>
      <c r="AF838" s="9"/>
      <c r="AG838" s="9"/>
      <c r="AH838" s="9"/>
      <c r="AI838" s="9"/>
      <c r="AJ838" s="9"/>
      <c r="AK838" s="9"/>
      <c r="AL838" s="9"/>
      <c r="AM838" s="9"/>
      <c r="AN838" s="9"/>
      <c r="AO838" s="9"/>
      <c r="AP838" s="9"/>
      <c r="AQ838" s="9"/>
      <c r="AR838" s="9"/>
      <c r="AS838" s="9"/>
      <c r="AT838" s="9"/>
      <c r="AU838" s="9"/>
      <c r="AV838" s="9"/>
      <c r="AW838" s="9"/>
      <c r="AX838" s="9"/>
    </row>
    <row r="839" spans="1:50" ht="15.75" customHeight="1" x14ac:dyDescent="0.2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212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  <c r="AA839" s="212"/>
      <c r="AB839" s="9"/>
      <c r="AC839" s="9"/>
      <c r="AD839" s="9"/>
      <c r="AE839" s="9"/>
      <c r="AF839" s="9"/>
      <c r="AG839" s="9"/>
      <c r="AH839" s="9"/>
      <c r="AI839" s="9"/>
      <c r="AJ839" s="9"/>
      <c r="AK839" s="9"/>
      <c r="AL839" s="9"/>
      <c r="AM839" s="9"/>
      <c r="AN839" s="9"/>
      <c r="AO839" s="9"/>
      <c r="AP839" s="9"/>
      <c r="AQ839" s="9"/>
      <c r="AR839" s="9"/>
      <c r="AS839" s="9"/>
      <c r="AT839" s="9"/>
      <c r="AU839" s="9"/>
      <c r="AV839" s="9"/>
      <c r="AW839" s="9"/>
      <c r="AX839" s="9"/>
    </row>
    <row r="840" spans="1:50" ht="15.75" customHeight="1" x14ac:dyDescent="0.2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212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  <c r="AA840" s="212"/>
      <c r="AB840" s="9"/>
      <c r="AC840" s="9"/>
      <c r="AD840" s="9"/>
      <c r="AE840" s="9"/>
      <c r="AF840" s="9"/>
      <c r="AG840" s="9"/>
      <c r="AH840" s="9"/>
      <c r="AI840" s="9"/>
      <c r="AJ840" s="9"/>
      <c r="AK840" s="9"/>
      <c r="AL840" s="9"/>
      <c r="AM840" s="9"/>
      <c r="AN840" s="9"/>
      <c r="AO840" s="9"/>
      <c r="AP840" s="9"/>
      <c r="AQ840" s="9"/>
      <c r="AR840" s="9"/>
      <c r="AS840" s="9"/>
      <c r="AT840" s="9"/>
      <c r="AU840" s="9"/>
      <c r="AV840" s="9"/>
      <c r="AW840" s="9"/>
      <c r="AX840" s="9"/>
    </row>
    <row r="841" spans="1:50" ht="15.75" customHeight="1" x14ac:dyDescent="0.2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212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  <c r="AA841" s="212"/>
      <c r="AB841" s="9"/>
      <c r="AC841" s="9"/>
      <c r="AD841" s="9"/>
      <c r="AE841" s="9"/>
      <c r="AF841" s="9"/>
      <c r="AG841" s="9"/>
      <c r="AH841" s="9"/>
      <c r="AI841" s="9"/>
      <c r="AJ841" s="9"/>
      <c r="AK841" s="9"/>
      <c r="AL841" s="9"/>
      <c r="AM841" s="9"/>
      <c r="AN841" s="9"/>
      <c r="AO841" s="9"/>
      <c r="AP841" s="9"/>
      <c r="AQ841" s="9"/>
      <c r="AR841" s="9"/>
      <c r="AS841" s="9"/>
      <c r="AT841" s="9"/>
      <c r="AU841" s="9"/>
      <c r="AV841" s="9"/>
      <c r="AW841" s="9"/>
      <c r="AX841" s="9"/>
    </row>
    <row r="842" spans="1:50" ht="15.75" customHeight="1" x14ac:dyDescent="0.2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212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  <c r="AA842" s="212"/>
      <c r="AB842" s="9"/>
      <c r="AC842" s="9"/>
      <c r="AD842" s="9"/>
      <c r="AE842" s="9"/>
      <c r="AF842" s="9"/>
      <c r="AG842" s="9"/>
      <c r="AH842" s="9"/>
      <c r="AI842" s="9"/>
      <c r="AJ842" s="9"/>
      <c r="AK842" s="9"/>
      <c r="AL842" s="9"/>
      <c r="AM842" s="9"/>
      <c r="AN842" s="9"/>
      <c r="AO842" s="9"/>
      <c r="AP842" s="9"/>
      <c r="AQ842" s="9"/>
      <c r="AR842" s="9"/>
      <c r="AS842" s="9"/>
      <c r="AT842" s="9"/>
      <c r="AU842" s="9"/>
      <c r="AV842" s="9"/>
      <c r="AW842" s="9"/>
      <c r="AX842" s="9"/>
    </row>
    <row r="843" spans="1:50" ht="15.75" customHeight="1" x14ac:dyDescent="0.2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212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  <c r="AA843" s="212"/>
      <c r="AB843" s="9"/>
      <c r="AC843" s="9"/>
      <c r="AD843" s="9"/>
      <c r="AE843" s="9"/>
      <c r="AF843" s="9"/>
      <c r="AG843" s="9"/>
      <c r="AH843" s="9"/>
      <c r="AI843" s="9"/>
      <c r="AJ843" s="9"/>
      <c r="AK843" s="9"/>
      <c r="AL843" s="9"/>
      <c r="AM843" s="9"/>
      <c r="AN843" s="9"/>
      <c r="AO843" s="9"/>
      <c r="AP843" s="9"/>
      <c r="AQ843" s="9"/>
      <c r="AR843" s="9"/>
      <c r="AS843" s="9"/>
      <c r="AT843" s="9"/>
      <c r="AU843" s="9"/>
      <c r="AV843" s="9"/>
      <c r="AW843" s="9"/>
      <c r="AX843" s="9"/>
    </row>
    <row r="844" spans="1:50" ht="15.75" customHeight="1" x14ac:dyDescent="0.2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212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  <c r="AA844" s="212"/>
      <c r="AB844" s="9"/>
      <c r="AC844" s="9"/>
      <c r="AD844" s="9"/>
      <c r="AE844" s="9"/>
      <c r="AF844" s="9"/>
      <c r="AG844" s="9"/>
      <c r="AH844" s="9"/>
      <c r="AI844" s="9"/>
      <c r="AJ844" s="9"/>
      <c r="AK844" s="9"/>
      <c r="AL844" s="9"/>
      <c r="AM844" s="9"/>
      <c r="AN844" s="9"/>
      <c r="AO844" s="9"/>
      <c r="AP844" s="9"/>
      <c r="AQ844" s="9"/>
      <c r="AR844" s="9"/>
      <c r="AS844" s="9"/>
      <c r="AT844" s="9"/>
      <c r="AU844" s="9"/>
      <c r="AV844" s="9"/>
      <c r="AW844" s="9"/>
      <c r="AX844" s="9"/>
    </row>
    <row r="845" spans="1:50" ht="15.75" customHeight="1" x14ac:dyDescent="0.2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212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  <c r="AA845" s="212"/>
      <c r="AB845" s="9"/>
      <c r="AC845" s="9"/>
      <c r="AD845" s="9"/>
      <c r="AE845" s="9"/>
      <c r="AF845" s="9"/>
      <c r="AG845" s="9"/>
      <c r="AH845" s="9"/>
      <c r="AI845" s="9"/>
      <c r="AJ845" s="9"/>
      <c r="AK845" s="9"/>
      <c r="AL845" s="9"/>
      <c r="AM845" s="9"/>
      <c r="AN845" s="9"/>
      <c r="AO845" s="9"/>
      <c r="AP845" s="9"/>
      <c r="AQ845" s="9"/>
      <c r="AR845" s="9"/>
      <c r="AS845" s="9"/>
      <c r="AT845" s="9"/>
      <c r="AU845" s="9"/>
      <c r="AV845" s="9"/>
      <c r="AW845" s="9"/>
      <c r="AX845" s="9"/>
    </row>
    <row r="846" spans="1:50" ht="15.75" customHeight="1" x14ac:dyDescent="0.2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212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  <c r="AA846" s="212"/>
      <c r="AB846" s="9"/>
      <c r="AC846" s="9"/>
      <c r="AD846" s="9"/>
      <c r="AE846" s="9"/>
      <c r="AF846" s="9"/>
      <c r="AG846" s="9"/>
      <c r="AH846" s="9"/>
      <c r="AI846" s="9"/>
      <c r="AJ846" s="9"/>
      <c r="AK846" s="9"/>
      <c r="AL846" s="9"/>
      <c r="AM846" s="9"/>
      <c r="AN846" s="9"/>
      <c r="AO846" s="9"/>
      <c r="AP846" s="9"/>
      <c r="AQ846" s="9"/>
      <c r="AR846" s="9"/>
      <c r="AS846" s="9"/>
      <c r="AT846" s="9"/>
      <c r="AU846" s="9"/>
      <c r="AV846" s="9"/>
      <c r="AW846" s="9"/>
      <c r="AX846" s="9"/>
    </row>
    <row r="847" spans="1:50" ht="15.75" customHeight="1" x14ac:dyDescent="0.2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212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  <c r="AA847" s="212"/>
      <c r="AB847" s="9"/>
      <c r="AC847" s="9"/>
      <c r="AD847" s="9"/>
      <c r="AE847" s="9"/>
      <c r="AF847" s="9"/>
      <c r="AG847" s="9"/>
      <c r="AH847" s="9"/>
      <c r="AI847" s="9"/>
      <c r="AJ847" s="9"/>
      <c r="AK847" s="9"/>
      <c r="AL847" s="9"/>
      <c r="AM847" s="9"/>
      <c r="AN847" s="9"/>
      <c r="AO847" s="9"/>
      <c r="AP847" s="9"/>
      <c r="AQ847" s="9"/>
      <c r="AR847" s="9"/>
      <c r="AS847" s="9"/>
      <c r="AT847" s="9"/>
      <c r="AU847" s="9"/>
      <c r="AV847" s="9"/>
      <c r="AW847" s="9"/>
      <c r="AX847" s="9"/>
    </row>
    <row r="848" spans="1:50" ht="15.75" customHeight="1" x14ac:dyDescent="0.2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212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  <c r="AA848" s="212"/>
      <c r="AB848" s="9"/>
      <c r="AC848" s="9"/>
      <c r="AD848" s="9"/>
      <c r="AE848" s="9"/>
      <c r="AF848" s="9"/>
      <c r="AG848" s="9"/>
      <c r="AH848" s="9"/>
      <c r="AI848" s="9"/>
      <c r="AJ848" s="9"/>
      <c r="AK848" s="9"/>
      <c r="AL848" s="9"/>
      <c r="AM848" s="9"/>
      <c r="AN848" s="9"/>
      <c r="AO848" s="9"/>
      <c r="AP848" s="9"/>
      <c r="AQ848" s="9"/>
      <c r="AR848" s="9"/>
      <c r="AS848" s="9"/>
      <c r="AT848" s="9"/>
      <c r="AU848" s="9"/>
      <c r="AV848" s="9"/>
      <c r="AW848" s="9"/>
      <c r="AX848" s="9"/>
    </row>
    <row r="849" spans="1:50" ht="15.75" customHeight="1" x14ac:dyDescent="0.2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212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  <c r="AA849" s="212"/>
      <c r="AB849" s="9"/>
      <c r="AC849" s="9"/>
      <c r="AD849" s="9"/>
      <c r="AE849" s="9"/>
      <c r="AF849" s="9"/>
      <c r="AG849" s="9"/>
      <c r="AH849" s="9"/>
      <c r="AI849" s="9"/>
      <c r="AJ849" s="9"/>
      <c r="AK849" s="9"/>
      <c r="AL849" s="9"/>
      <c r="AM849" s="9"/>
      <c r="AN849" s="9"/>
      <c r="AO849" s="9"/>
      <c r="AP849" s="9"/>
      <c r="AQ849" s="9"/>
      <c r="AR849" s="9"/>
      <c r="AS849" s="9"/>
      <c r="AT849" s="9"/>
      <c r="AU849" s="9"/>
      <c r="AV849" s="9"/>
      <c r="AW849" s="9"/>
      <c r="AX849" s="9"/>
    </row>
    <row r="850" spans="1:50" ht="15.75" customHeight="1" x14ac:dyDescent="0.2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212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  <c r="AA850" s="212"/>
      <c r="AB850" s="9"/>
      <c r="AC850" s="9"/>
      <c r="AD850" s="9"/>
      <c r="AE850" s="9"/>
      <c r="AF850" s="9"/>
      <c r="AG850" s="9"/>
      <c r="AH850" s="9"/>
      <c r="AI850" s="9"/>
      <c r="AJ850" s="9"/>
      <c r="AK850" s="9"/>
      <c r="AL850" s="9"/>
      <c r="AM850" s="9"/>
      <c r="AN850" s="9"/>
      <c r="AO850" s="9"/>
      <c r="AP850" s="9"/>
      <c r="AQ850" s="9"/>
      <c r="AR850" s="9"/>
      <c r="AS850" s="9"/>
      <c r="AT850" s="9"/>
      <c r="AU850" s="9"/>
      <c r="AV850" s="9"/>
      <c r="AW850" s="9"/>
      <c r="AX850" s="9"/>
    </row>
    <row r="851" spans="1:50" ht="15.75" customHeight="1" x14ac:dyDescent="0.2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212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  <c r="AA851" s="212"/>
      <c r="AB851" s="9"/>
      <c r="AC851" s="9"/>
      <c r="AD851" s="9"/>
      <c r="AE851" s="9"/>
      <c r="AF851" s="9"/>
      <c r="AG851" s="9"/>
      <c r="AH851" s="9"/>
      <c r="AI851" s="9"/>
      <c r="AJ851" s="9"/>
      <c r="AK851" s="9"/>
      <c r="AL851" s="9"/>
      <c r="AM851" s="9"/>
      <c r="AN851" s="9"/>
      <c r="AO851" s="9"/>
      <c r="AP851" s="9"/>
      <c r="AQ851" s="9"/>
      <c r="AR851" s="9"/>
      <c r="AS851" s="9"/>
      <c r="AT851" s="9"/>
      <c r="AU851" s="9"/>
      <c r="AV851" s="9"/>
      <c r="AW851" s="9"/>
      <c r="AX851" s="9"/>
    </row>
    <row r="852" spans="1:50" ht="15.75" customHeight="1" x14ac:dyDescent="0.2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212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  <c r="AA852" s="212"/>
      <c r="AB852" s="9"/>
      <c r="AC852" s="9"/>
      <c r="AD852" s="9"/>
      <c r="AE852" s="9"/>
      <c r="AF852" s="9"/>
      <c r="AG852" s="9"/>
      <c r="AH852" s="9"/>
      <c r="AI852" s="9"/>
      <c r="AJ852" s="9"/>
      <c r="AK852" s="9"/>
      <c r="AL852" s="9"/>
      <c r="AM852" s="9"/>
      <c r="AN852" s="9"/>
      <c r="AO852" s="9"/>
      <c r="AP852" s="9"/>
      <c r="AQ852" s="9"/>
      <c r="AR852" s="9"/>
      <c r="AS852" s="9"/>
      <c r="AT852" s="9"/>
      <c r="AU852" s="9"/>
      <c r="AV852" s="9"/>
      <c r="AW852" s="9"/>
      <c r="AX852" s="9"/>
    </row>
    <row r="853" spans="1:50" ht="15.75" customHeight="1" x14ac:dyDescent="0.2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212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  <c r="AA853" s="212"/>
      <c r="AB853" s="9"/>
      <c r="AC853" s="9"/>
      <c r="AD853" s="9"/>
      <c r="AE853" s="9"/>
      <c r="AF853" s="9"/>
      <c r="AG853" s="9"/>
      <c r="AH853" s="9"/>
      <c r="AI853" s="9"/>
      <c r="AJ853" s="9"/>
      <c r="AK853" s="9"/>
      <c r="AL853" s="9"/>
      <c r="AM853" s="9"/>
      <c r="AN853" s="9"/>
      <c r="AO853" s="9"/>
      <c r="AP853" s="9"/>
      <c r="AQ853" s="9"/>
      <c r="AR853" s="9"/>
      <c r="AS853" s="9"/>
      <c r="AT853" s="9"/>
      <c r="AU853" s="9"/>
      <c r="AV853" s="9"/>
      <c r="AW853" s="9"/>
      <c r="AX853" s="9"/>
    </row>
    <row r="854" spans="1:50" ht="15.75" customHeight="1" x14ac:dyDescent="0.2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212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  <c r="AA854" s="212"/>
      <c r="AB854" s="9"/>
      <c r="AC854" s="9"/>
      <c r="AD854" s="9"/>
      <c r="AE854" s="9"/>
      <c r="AF854" s="9"/>
      <c r="AG854" s="9"/>
      <c r="AH854" s="9"/>
      <c r="AI854" s="9"/>
      <c r="AJ854" s="9"/>
      <c r="AK854" s="9"/>
      <c r="AL854" s="9"/>
      <c r="AM854" s="9"/>
      <c r="AN854" s="9"/>
      <c r="AO854" s="9"/>
      <c r="AP854" s="9"/>
      <c r="AQ854" s="9"/>
      <c r="AR854" s="9"/>
      <c r="AS854" s="9"/>
      <c r="AT854" s="9"/>
      <c r="AU854" s="9"/>
      <c r="AV854" s="9"/>
      <c r="AW854" s="9"/>
      <c r="AX854" s="9"/>
    </row>
    <row r="855" spans="1:50" ht="15.75" customHeight="1" x14ac:dyDescent="0.2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212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  <c r="AA855" s="212"/>
      <c r="AB855" s="9"/>
      <c r="AC855" s="9"/>
      <c r="AD855" s="9"/>
      <c r="AE855" s="9"/>
      <c r="AF855" s="9"/>
      <c r="AG855" s="9"/>
      <c r="AH855" s="9"/>
      <c r="AI855" s="9"/>
      <c r="AJ855" s="9"/>
      <c r="AK855" s="9"/>
      <c r="AL855" s="9"/>
      <c r="AM855" s="9"/>
      <c r="AN855" s="9"/>
      <c r="AO855" s="9"/>
      <c r="AP855" s="9"/>
      <c r="AQ855" s="9"/>
      <c r="AR855" s="9"/>
      <c r="AS855" s="9"/>
      <c r="AT855" s="9"/>
      <c r="AU855" s="9"/>
      <c r="AV855" s="9"/>
      <c r="AW855" s="9"/>
      <c r="AX855" s="9"/>
    </row>
    <row r="856" spans="1:50" ht="15.75" customHeight="1" x14ac:dyDescent="0.2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212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  <c r="AA856" s="212"/>
      <c r="AB856" s="9"/>
      <c r="AC856" s="9"/>
      <c r="AD856" s="9"/>
      <c r="AE856" s="9"/>
      <c r="AF856" s="9"/>
      <c r="AG856" s="9"/>
      <c r="AH856" s="9"/>
      <c r="AI856" s="9"/>
      <c r="AJ856" s="9"/>
      <c r="AK856" s="9"/>
      <c r="AL856" s="9"/>
      <c r="AM856" s="9"/>
      <c r="AN856" s="9"/>
      <c r="AO856" s="9"/>
      <c r="AP856" s="9"/>
      <c r="AQ856" s="9"/>
      <c r="AR856" s="9"/>
      <c r="AS856" s="9"/>
      <c r="AT856" s="9"/>
      <c r="AU856" s="9"/>
      <c r="AV856" s="9"/>
      <c r="AW856" s="9"/>
      <c r="AX856" s="9"/>
    </row>
    <row r="857" spans="1:50" ht="15.75" customHeight="1" x14ac:dyDescent="0.2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212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  <c r="AA857" s="212"/>
      <c r="AB857" s="9"/>
      <c r="AC857" s="9"/>
      <c r="AD857" s="9"/>
      <c r="AE857" s="9"/>
      <c r="AF857" s="9"/>
      <c r="AG857" s="9"/>
      <c r="AH857" s="9"/>
      <c r="AI857" s="9"/>
      <c r="AJ857" s="9"/>
      <c r="AK857" s="9"/>
      <c r="AL857" s="9"/>
      <c r="AM857" s="9"/>
      <c r="AN857" s="9"/>
      <c r="AO857" s="9"/>
      <c r="AP857" s="9"/>
      <c r="AQ857" s="9"/>
      <c r="AR857" s="9"/>
      <c r="AS857" s="9"/>
      <c r="AT857" s="9"/>
      <c r="AU857" s="9"/>
      <c r="AV857" s="9"/>
      <c r="AW857" s="9"/>
      <c r="AX857" s="9"/>
    </row>
    <row r="858" spans="1:50" ht="15.75" customHeight="1" x14ac:dyDescent="0.2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212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  <c r="AA858" s="212"/>
      <c r="AB858" s="9"/>
      <c r="AC858" s="9"/>
      <c r="AD858" s="9"/>
      <c r="AE858" s="9"/>
      <c r="AF858" s="9"/>
      <c r="AG858" s="9"/>
      <c r="AH858" s="9"/>
      <c r="AI858" s="9"/>
      <c r="AJ858" s="9"/>
      <c r="AK858" s="9"/>
      <c r="AL858" s="9"/>
      <c r="AM858" s="9"/>
      <c r="AN858" s="9"/>
      <c r="AO858" s="9"/>
      <c r="AP858" s="9"/>
      <c r="AQ858" s="9"/>
      <c r="AR858" s="9"/>
      <c r="AS858" s="9"/>
      <c r="AT858" s="9"/>
      <c r="AU858" s="9"/>
      <c r="AV858" s="9"/>
      <c r="AW858" s="9"/>
      <c r="AX858" s="9"/>
    </row>
    <row r="859" spans="1:50" ht="15.75" customHeight="1" x14ac:dyDescent="0.2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212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  <c r="AA859" s="212"/>
      <c r="AB859" s="9"/>
      <c r="AC859" s="9"/>
      <c r="AD859" s="9"/>
      <c r="AE859" s="9"/>
      <c r="AF859" s="9"/>
      <c r="AG859" s="9"/>
      <c r="AH859" s="9"/>
      <c r="AI859" s="9"/>
      <c r="AJ859" s="9"/>
      <c r="AK859" s="9"/>
      <c r="AL859" s="9"/>
      <c r="AM859" s="9"/>
      <c r="AN859" s="9"/>
      <c r="AO859" s="9"/>
      <c r="AP859" s="9"/>
      <c r="AQ859" s="9"/>
      <c r="AR859" s="9"/>
      <c r="AS859" s="9"/>
      <c r="AT859" s="9"/>
      <c r="AU859" s="9"/>
      <c r="AV859" s="9"/>
      <c r="AW859" s="9"/>
      <c r="AX859" s="9"/>
    </row>
    <row r="860" spans="1:50" ht="15.75" customHeight="1" x14ac:dyDescent="0.2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212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  <c r="AA860" s="212"/>
      <c r="AB860" s="9"/>
      <c r="AC860" s="9"/>
      <c r="AD860" s="9"/>
      <c r="AE860" s="9"/>
      <c r="AF860" s="9"/>
      <c r="AG860" s="9"/>
      <c r="AH860" s="9"/>
      <c r="AI860" s="9"/>
      <c r="AJ860" s="9"/>
      <c r="AK860" s="9"/>
      <c r="AL860" s="9"/>
      <c r="AM860" s="9"/>
      <c r="AN860" s="9"/>
      <c r="AO860" s="9"/>
      <c r="AP860" s="9"/>
      <c r="AQ860" s="9"/>
      <c r="AR860" s="9"/>
      <c r="AS860" s="9"/>
      <c r="AT860" s="9"/>
      <c r="AU860" s="9"/>
      <c r="AV860" s="9"/>
      <c r="AW860" s="9"/>
      <c r="AX860" s="9"/>
    </row>
    <row r="861" spans="1:50" ht="15.75" customHeight="1" x14ac:dyDescent="0.2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212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  <c r="AA861" s="212"/>
      <c r="AB861" s="9"/>
      <c r="AC861" s="9"/>
      <c r="AD861" s="9"/>
      <c r="AE861" s="9"/>
      <c r="AF861" s="9"/>
      <c r="AG861" s="9"/>
      <c r="AH861" s="9"/>
      <c r="AI861" s="9"/>
      <c r="AJ861" s="9"/>
      <c r="AK861" s="9"/>
      <c r="AL861" s="9"/>
      <c r="AM861" s="9"/>
      <c r="AN861" s="9"/>
      <c r="AO861" s="9"/>
      <c r="AP861" s="9"/>
      <c r="AQ861" s="9"/>
      <c r="AR861" s="9"/>
      <c r="AS861" s="9"/>
      <c r="AT861" s="9"/>
      <c r="AU861" s="9"/>
      <c r="AV861" s="9"/>
      <c r="AW861" s="9"/>
      <c r="AX861" s="9"/>
    </row>
    <row r="862" spans="1:50" ht="15.75" customHeight="1" x14ac:dyDescent="0.2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212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  <c r="AA862" s="212"/>
      <c r="AB862" s="9"/>
      <c r="AC862" s="9"/>
      <c r="AD862" s="9"/>
      <c r="AE862" s="9"/>
      <c r="AF862" s="9"/>
      <c r="AG862" s="9"/>
      <c r="AH862" s="9"/>
      <c r="AI862" s="9"/>
      <c r="AJ862" s="9"/>
      <c r="AK862" s="9"/>
      <c r="AL862" s="9"/>
      <c r="AM862" s="9"/>
      <c r="AN862" s="9"/>
      <c r="AO862" s="9"/>
      <c r="AP862" s="9"/>
      <c r="AQ862" s="9"/>
      <c r="AR862" s="9"/>
      <c r="AS862" s="9"/>
      <c r="AT862" s="9"/>
      <c r="AU862" s="9"/>
      <c r="AV862" s="9"/>
      <c r="AW862" s="9"/>
      <c r="AX862" s="9"/>
    </row>
    <row r="863" spans="1:50" ht="15.75" customHeight="1" x14ac:dyDescent="0.2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212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  <c r="AA863" s="212"/>
      <c r="AB863" s="9"/>
      <c r="AC863" s="9"/>
      <c r="AD863" s="9"/>
      <c r="AE863" s="9"/>
      <c r="AF863" s="9"/>
      <c r="AG863" s="9"/>
      <c r="AH863" s="9"/>
      <c r="AI863" s="9"/>
      <c r="AJ863" s="9"/>
      <c r="AK863" s="9"/>
      <c r="AL863" s="9"/>
      <c r="AM863" s="9"/>
      <c r="AN863" s="9"/>
      <c r="AO863" s="9"/>
      <c r="AP863" s="9"/>
      <c r="AQ863" s="9"/>
      <c r="AR863" s="9"/>
      <c r="AS863" s="9"/>
      <c r="AT863" s="9"/>
      <c r="AU863" s="9"/>
      <c r="AV863" s="9"/>
      <c r="AW863" s="9"/>
      <c r="AX863" s="9"/>
    </row>
    <row r="864" spans="1:50" ht="15.75" customHeight="1" x14ac:dyDescent="0.2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212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  <c r="AA864" s="212"/>
      <c r="AB864" s="9"/>
      <c r="AC864" s="9"/>
      <c r="AD864" s="9"/>
      <c r="AE864" s="9"/>
      <c r="AF864" s="9"/>
      <c r="AG864" s="9"/>
      <c r="AH864" s="9"/>
      <c r="AI864" s="9"/>
      <c r="AJ864" s="9"/>
      <c r="AK864" s="9"/>
      <c r="AL864" s="9"/>
      <c r="AM864" s="9"/>
      <c r="AN864" s="9"/>
      <c r="AO864" s="9"/>
      <c r="AP864" s="9"/>
      <c r="AQ864" s="9"/>
      <c r="AR864" s="9"/>
      <c r="AS864" s="9"/>
      <c r="AT864" s="9"/>
      <c r="AU864" s="9"/>
      <c r="AV864" s="9"/>
      <c r="AW864" s="9"/>
      <c r="AX864" s="9"/>
    </row>
    <row r="865" spans="1:50" ht="15.75" customHeight="1" x14ac:dyDescent="0.2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212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  <c r="AA865" s="212"/>
      <c r="AB865" s="9"/>
      <c r="AC865" s="9"/>
      <c r="AD865" s="9"/>
      <c r="AE865" s="9"/>
      <c r="AF865" s="9"/>
      <c r="AG865" s="9"/>
      <c r="AH865" s="9"/>
      <c r="AI865" s="9"/>
      <c r="AJ865" s="9"/>
      <c r="AK865" s="9"/>
      <c r="AL865" s="9"/>
      <c r="AM865" s="9"/>
      <c r="AN865" s="9"/>
      <c r="AO865" s="9"/>
      <c r="AP865" s="9"/>
      <c r="AQ865" s="9"/>
      <c r="AR865" s="9"/>
      <c r="AS865" s="9"/>
      <c r="AT865" s="9"/>
      <c r="AU865" s="9"/>
      <c r="AV865" s="9"/>
      <c r="AW865" s="9"/>
      <c r="AX865" s="9"/>
    </row>
    <row r="866" spans="1:50" ht="15.75" customHeight="1" x14ac:dyDescent="0.2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212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  <c r="AA866" s="212"/>
      <c r="AB866" s="9"/>
      <c r="AC866" s="9"/>
      <c r="AD866" s="9"/>
      <c r="AE866" s="9"/>
      <c r="AF866" s="9"/>
      <c r="AG866" s="9"/>
      <c r="AH866" s="9"/>
      <c r="AI866" s="9"/>
      <c r="AJ866" s="9"/>
      <c r="AK866" s="9"/>
      <c r="AL866" s="9"/>
      <c r="AM866" s="9"/>
      <c r="AN866" s="9"/>
      <c r="AO866" s="9"/>
      <c r="AP866" s="9"/>
      <c r="AQ866" s="9"/>
      <c r="AR866" s="9"/>
      <c r="AS866" s="9"/>
      <c r="AT866" s="9"/>
      <c r="AU866" s="9"/>
      <c r="AV866" s="9"/>
      <c r="AW866" s="9"/>
      <c r="AX866" s="9"/>
    </row>
    <row r="867" spans="1:50" ht="15.75" customHeight="1" x14ac:dyDescent="0.2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212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  <c r="AA867" s="212"/>
      <c r="AB867" s="9"/>
      <c r="AC867" s="9"/>
      <c r="AD867" s="9"/>
      <c r="AE867" s="9"/>
      <c r="AF867" s="9"/>
      <c r="AG867" s="9"/>
      <c r="AH867" s="9"/>
      <c r="AI867" s="9"/>
      <c r="AJ867" s="9"/>
      <c r="AK867" s="9"/>
      <c r="AL867" s="9"/>
      <c r="AM867" s="9"/>
      <c r="AN867" s="9"/>
      <c r="AO867" s="9"/>
      <c r="AP867" s="9"/>
      <c r="AQ867" s="9"/>
      <c r="AR867" s="9"/>
      <c r="AS867" s="9"/>
      <c r="AT867" s="9"/>
      <c r="AU867" s="9"/>
      <c r="AV867" s="9"/>
      <c r="AW867" s="9"/>
      <c r="AX867" s="9"/>
    </row>
    <row r="868" spans="1:50" ht="15.75" customHeight="1" x14ac:dyDescent="0.2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212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  <c r="AA868" s="212"/>
      <c r="AB868" s="9"/>
      <c r="AC868" s="9"/>
      <c r="AD868" s="9"/>
      <c r="AE868" s="9"/>
      <c r="AF868" s="9"/>
      <c r="AG868" s="9"/>
      <c r="AH868" s="9"/>
      <c r="AI868" s="9"/>
      <c r="AJ868" s="9"/>
      <c r="AK868" s="9"/>
      <c r="AL868" s="9"/>
      <c r="AM868" s="9"/>
      <c r="AN868" s="9"/>
      <c r="AO868" s="9"/>
      <c r="AP868" s="9"/>
      <c r="AQ868" s="9"/>
      <c r="AR868" s="9"/>
      <c r="AS868" s="9"/>
      <c r="AT868" s="9"/>
      <c r="AU868" s="9"/>
      <c r="AV868" s="9"/>
      <c r="AW868" s="9"/>
      <c r="AX868" s="9"/>
    </row>
    <row r="869" spans="1:50" ht="15.75" customHeight="1" x14ac:dyDescent="0.2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212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  <c r="AA869" s="212"/>
      <c r="AB869" s="9"/>
      <c r="AC869" s="9"/>
      <c r="AD869" s="9"/>
      <c r="AE869" s="9"/>
      <c r="AF869" s="9"/>
      <c r="AG869" s="9"/>
      <c r="AH869" s="9"/>
      <c r="AI869" s="9"/>
      <c r="AJ869" s="9"/>
      <c r="AK869" s="9"/>
      <c r="AL869" s="9"/>
      <c r="AM869" s="9"/>
      <c r="AN869" s="9"/>
      <c r="AO869" s="9"/>
      <c r="AP869" s="9"/>
      <c r="AQ869" s="9"/>
      <c r="AR869" s="9"/>
      <c r="AS869" s="9"/>
      <c r="AT869" s="9"/>
      <c r="AU869" s="9"/>
      <c r="AV869" s="9"/>
      <c r="AW869" s="9"/>
      <c r="AX869" s="9"/>
    </row>
    <row r="870" spans="1:50" ht="15.75" customHeight="1" x14ac:dyDescent="0.2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212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  <c r="AA870" s="212"/>
      <c r="AB870" s="9"/>
      <c r="AC870" s="9"/>
      <c r="AD870" s="9"/>
      <c r="AE870" s="9"/>
      <c r="AF870" s="9"/>
      <c r="AG870" s="9"/>
      <c r="AH870" s="9"/>
      <c r="AI870" s="9"/>
      <c r="AJ870" s="9"/>
      <c r="AK870" s="9"/>
      <c r="AL870" s="9"/>
      <c r="AM870" s="9"/>
      <c r="AN870" s="9"/>
      <c r="AO870" s="9"/>
      <c r="AP870" s="9"/>
      <c r="AQ870" s="9"/>
      <c r="AR870" s="9"/>
      <c r="AS870" s="9"/>
      <c r="AT870" s="9"/>
      <c r="AU870" s="9"/>
      <c r="AV870" s="9"/>
      <c r="AW870" s="9"/>
      <c r="AX870" s="9"/>
    </row>
    <row r="871" spans="1:50" ht="15.75" customHeight="1" x14ac:dyDescent="0.2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212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  <c r="AA871" s="212"/>
      <c r="AB871" s="9"/>
      <c r="AC871" s="9"/>
      <c r="AD871" s="9"/>
      <c r="AE871" s="9"/>
      <c r="AF871" s="9"/>
      <c r="AG871" s="9"/>
      <c r="AH871" s="9"/>
      <c r="AI871" s="9"/>
      <c r="AJ871" s="9"/>
      <c r="AK871" s="9"/>
      <c r="AL871" s="9"/>
      <c r="AM871" s="9"/>
      <c r="AN871" s="9"/>
      <c r="AO871" s="9"/>
      <c r="AP871" s="9"/>
      <c r="AQ871" s="9"/>
      <c r="AR871" s="9"/>
      <c r="AS871" s="9"/>
      <c r="AT871" s="9"/>
      <c r="AU871" s="9"/>
      <c r="AV871" s="9"/>
      <c r="AW871" s="9"/>
      <c r="AX871" s="9"/>
    </row>
    <row r="872" spans="1:50" ht="15.75" customHeight="1" x14ac:dyDescent="0.2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212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  <c r="AA872" s="212"/>
      <c r="AB872" s="9"/>
      <c r="AC872" s="9"/>
      <c r="AD872" s="9"/>
      <c r="AE872" s="9"/>
      <c r="AF872" s="9"/>
      <c r="AG872" s="9"/>
      <c r="AH872" s="9"/>
      <c r="AI872" s="9"/>
      <c r="AJ872" s="9"/>
      <c r="AK872" s="9"/>
      <c r="AL872" s="9"/>
      <c r="AM872" s="9"/>
      <c r="AN872" s="9"/>
      <c r="AO872" s="9"/>
      <c r="AP872" s="9"/>
      <c r="AQ872" s="9"/>
      <c r="AR872" s="9"/>
      <c r="AS872" s="9"/>
      <c r="AT872" s="9"/>
      <c r="AU872" s="9"/>
      <c r="AV872" s="9"/>
      <c r="AW872" s="9"/>
      <c r="AX872" s="9"/>
    </row>
    <row r="873" spans="1:50" ht="15.75" customHeight="1" x14ac:dyDescent="0.2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212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  <c r="AA873" s="212"/>
      <c r="AB873" s="9"/>
      <c r="AC873" s="9"/>
      <c r="AD873" s="9"/>
      <c r="AE873" s="9"/>
      <c r="AF873" s="9"/>
      <c r="AG873" s="9"/>
      <c r="AH873" s="9"/>
      <c r="AI873" s="9"/>
      <c r="AJ873" s="9"/>
      <c r="AK873" s="9"/>
      <c r="AL873" s="9"/>
      <c r="AM873" s="9"/>
      <c r="AN873" s="9"/>
      <c r="AO873" s="9"/>
      <c r="AP873" s="9"/>
      <c r="AQ873" s="9"/>
      <c r="AR873" s="9"/>
      <c r="AS873" s="9"/>
      <c r="AT873" s="9"/>
      <c r="AU873" s="9"/>
      <c r="AV873" s="9"/>
      <c r="AW873" s="9"/>
      <c r="AX873" s="9"/>
    </row>
    <row r="874" spans="1:50" ht="15.75" customHeight="1" x14ac:dyDescent="0.2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212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  <c r="AA874" s="212"/>
      <c r="AB874" s="9"/>
      <c r="AC874" s="9"/>
      <c r="AD874" s="9"/>
      <c r="AE874" s="9"/>
      <c r="AF874" s="9"/>
      <c r="AG874" s="9"/>
      <c r="AH874" s="9"/>
      <c r="AI874" s="9"/>
      <c r="AJ874" s="9"/>
      <c r="AK874" s="9"/>
      <c r="AL874" s="9"/>
      <c r="AM874" s="9"/>
      <c r="AN874" s="9"/>
      <c r="AO874" s="9"/>
      <c r="AP874" s="9"/>
      <c r="AQ874" s="9"/>
      <c r="AR874" s="9"/>
      <c r="AS874" s="9"/>
      <c r="AT874" s="9"/>
      <c r="AU874" s="9"/>
      <c r="AV874" s="9"/>
      <c r="AW874" s="9"/>
      <c r="AX874" s="9"/>
    </row>
    <row r="875" spans="1:50" ht="15.75" customHeight="1" x14ac:dyDescent="0.2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212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  <c r="AA875" s="212"/>
      <c r="AB875" s="9"/>
      <c r="AC875" s="9"/>
      <c r="AD875" s="9"/>
      <c r="AE875" s="9"/>
      <c r="AF875" s="9"/>
      <c r="AG875" s="9"/>
      <c r="AH875" s="9"/>
      <c r="AI875" s="9"/>
      <c r="AJ875" s="9"/>
      <c r="AK875" s="9"/>
      <c r="AL875" s="9"/>
      <c r="AM875" s="9"/>
      <c r="AN875" s="9"/>
      <c r="AO875" s="9"/>
      <c r="AP875" s="9"/>
      <c r="AQ875" s="9"/>
      <c r="AR875" s="9"/>
      <c r="AS875" s="9"/>
      <c r="AT875" s="9"/>
      <c r="AU875" s="9"/>
      <c r="AV875" s="9"/>
      <c r="AW875" s="9"/>
      <c r="AX875" s="9"/>
    </row>
    <row r="876" spans="1:50" ht="15.75" customHeight="1" x14ac:dyDescent="0.2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212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  <c r="AA876" s="212"/>
      <c r="AB876" s="9"/>
      <c r="AC876" s="9"/>
      <c r="AD876" s="9"/>
      <c r="AE876" s="9"/>
      <c r="AF876" s="9"/>
      <c r="AG876" s="9"/>
      <c r="AH876" s="9"/>
      <c r="AI876" s="9"/>
      <c r="AJ876" s="9"/>
      <c r="AK876" s="9"/>
      <c r="AL876" s="9"/>
      <c r="AM876" s="9"/>
      <c r="AN876" s="9"/>
      <c r="AO876" s="9"/>
      <c r="AP876" s="9"/>
      <c r="AQ876" s="9"/>
      <c r="AR876" s="9"/>
      <c r="AS876" s="9"/>
      <c r="AT876" s="9"/>
      <c r="AU876" s="9"/>
      <c r="AV876" s="9"/>
      <c r="AW876" s="9"/>
      <c r="AX876" s="9"/>
    </row>
    <row r="877" spans="1:50" ht="15.75" customHeight="1" x14ac:dyDescent="0.2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212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  <c r="AA877" s="212"/>
      <c r="AB877" s="9"/>
      <c r="AC877" s="9"/>
      <c r="AD877" s="9"/>
      <c r="AE877" s="9"/>
      <c r="AF877" s="9"/>
      <c r="AG877" s="9"/>
      <c r="AH877" s="9"/>
      <c r="AI877" s="9"/>
      <c r="AJ877" s="9"/>
      <c r="AK877" s="9"/>
      <c r="AL877" s="9"/>
      <c r="AM877" s="9"/>
      <c r="AN877" s="9"/>
      <c r="AO877" s="9"/>
      <c r="AP877" s="9"/>
      <c r="AQ877" s="9"/>
      <c r="AR877" s="9"/>
      <c r="AS877" s="9"/>
      <c r="AT877" s="9"/>
      <c r="AU877" s="9"/>
      <c r="AV877" s="9"/>
      <c r="AW877" s="9"/>
      <c r="AX877" s="9"/>
    </row>
    <row r="878" spans="1:50" ht="15.75" customHeight="1" x14ac:dyDescent="0.2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212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  <c r="AA878" s="212"/>
      <c r="AB878" s="9"/>
      <c r="AC878" s="9"/>
      <c r="AD878" s="9"/>
      <c r="AE878" s="9"/>
      <c r="AF878" s="9"/>
      <c r="AG878" s="9"/>
      <c r="AH878" s="9"/>
      <c r="AI878" s="9"/>
      <c r="AJ878" s="9"/>
      <c r="AK878" s="9"/>
      <c r="AL878" s="9"/>
      <c r="AM878" s="9"/>
      <c r="AN878" s="9"/>
      <c r="AO878" s="9"/>
      <c r="AP878" s="9"/>
      <c r="AQ878" s="9"/>
      <c r="AR878" s="9"/>
      <c r="AS878" s="9"/>
      <c r="AT878" s="9"/>
      <c r="AU878" s="9"/>
      <c r="AV878" s="9"/>
      <c r="AW878" s="9"/>
      <c r="AX878" s="9"/>
    </row>
    <row r="879" spans="1:50" ht="15.75" customHeight="1" x14ac:dyDescent="0.2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212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  <c r="AA879" s="212"/>
      <c r="AB879" s="9"/>
      <c r="AC879" s="9"/>
      <c r="AD879" s="9"/>
      <c r="AE879" s="9"/>
      <c r="AF879" s="9"/>
      <c r="AG879" s="9"/>
      <c r="AH879" s="9"/>
      <c r="AI879" s="9"/>
      <c r="AJ879" s="9"/>
      <c r="AK879" s="9"/>
      <c r="AL879" s="9"/>
      <c r="AM879" s="9"/>
      <c r="AN879" s="9"/>
      <c r="AO879" s="9"/>
      <c r="AP879" s="9"/>
      <c r="AQ879" s="9"/>
      <c r="AR879" s="9"/>
      <c r="AS879" s="9"/>
      <c r="AT879" s="9"/>
      <c r="AU879" s="9"/>
      <c r="AV879" s="9"/>
      <c r="AW879" s="9"/>
      <c r="AX879" s="9"/>
    </row>
    <row r="880" spans="1:50" ht="15.75" customHeight="1" x14ac:dyDescent="0.2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212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  <c r="AA880" s="212"/>
      <c r="AB880" s="9"/>
      <c r="AC880" s="9"/>
      <c r="AD880" s="9"/>
      <c r="AE880" s="9"/>
      <c r="AF880" s="9"/>
      <c r="AG880" s="9"/>
      <c r="AH880" s="9"/>
      <c r="AI880" s="9"/>
      <c r="AJ880" s="9"/>
      <c r="AK880" s="9"/>
      <c r="AL880" s="9"/>
      <c r="AM880" s="9"/>
      <c r="AN880" s="9"/>
      <c r="AO880" s="9"/>
      <c r="AP880" s="9"/>
      <c r="AQ880" s="9"/>
      <c r="AR880" s="9"/>
      <c r="AS880" s="9"/>
      <c r="AT880" s="9"/>
      <c r="AU880" s="9"/>
      <c r="AV880" s="9"/>
      <c r="AW880" s="9"/>
      <c r="AX880" s="9"/>
    </row>
    <row r="881" spans="1:50" ht="15.75" customHeight="1" x14ac:dyDescent="0.2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212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  <c r="AA881" s="212"/>
      <c r="AB881" s="9"/>
      <c r="AC881" s="9"/>
      <c r="AD881" s="9"/>
      <c r="AE881" s="9"/>
      <c r="AF881" s="9"/>
      <c r="AG881" s="9"/>
      <c r="AH881" s="9"/>
      <c r="AI881" s="9"/>
      <c r="AJ881" s="9"/>
      <c r="AK881" s="9"/>
      <c r="AL881" s="9"/>
      <c r="AM881" s="9"/>
      <c r="AN881" s="9"/>
      <c r="AO881" s="9"/>
      <c r="AP881" s="9"/>
      <c r="AQ881" s="9"/>
      <c r="AR881" s="9"/>
      <c r="AS881" s="9"/>
      <c r="AT881" s="9"/>
      <c r="AU881" s="9"/>
      <c r="AV881" s="9"/>
      <c r="AW881" s="9"/>
      <c r="AX881" s="9"/>
    </row>
    <row r="882" spans="1:50" ht="15.75" customHeight="1" x14ac:dyDescent="0.2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212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  <c r="AA882" s="212"/>
      <c r="AB882" s="9"/>
      <c r="AC882" s="9"/>
      <c r="AD882" s="9"/>
      <c r="AE882" s="9"/>
      <c r="AF882" s="9"/>
      <c r="AG882" s="9"/>
      <c r="AH882" s="9"/>
      <c r="AI882" s="9"/>
      <c r="AJ882" s="9"/>
      <c r="AK882" s="9"/>
      <c r="AL882" s="9"/>
      <c r="AM882" s="9"/>
      <c r="AN882" s="9"/>
      <c r="AO882" s="9"/>
      <c r="AP882" s="9"/>
      <c r="AQ882" s="9"/>
      <c r="AR882" s="9"/>
      <c r="AS882" s="9"/>
      <c r="AT882" s="9"/>
      <c r="AU882" s="9"/>
      <c r="AV882" s="9"/>
      <c r="AW882" s="9"/>
      <c r="AX882" s="9"/>
    </row>
    <row r="883" spans="1:50" ht="15.75" customHeight="1" x14ac:dyDescent="0.2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212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  <c r="AA883" s="212"/>
      <c r="AB883" s="9"/>
      <c r="AC883" s="9"/>
      <c r="AD883" s="9"/>
      <c r="AE883" s="9"/>
      <c r="AF883" s="9"/>
      <c r="AG883" s="9"/>
      <c r="AH883" s="9"/>
      <c r="AI883" s="9"/>
      <c r="AJ883" s="9"/>
      <c r="AK883" s="9"/>
      <c r="AL883" s="9"/>
      <c r="AM883" s="9"/>
      <c r="AN883" s="9"/>
      <c r="AO883" s="9"/>
      <c r="AP883" s="9"/>
      <c r="AQ883" s="9"/>
      <c r="AR883" s="9"/>
      <c r="AS883" s="9"/>
      <c r="AT883" s="9"/>
      <c r="AU883" s="9"/>
      <c r="AV883" s="9"/>
      <c r="AW883" s="9"/>
      <c r="AX883" s="9"/>
    </row>
    <row r="884" spans="1:50" ht="15.75" customHeight="1" x14ac:dyDescent="0.2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212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  <c r="AA884" s="212"/>
      <c r="AB884" s="9"/>
      <c r="AC884" s="9"/>
      <c r="AD884" s="9"/>
      <c r="AE884" s="9"/>
      <c r="AF884" s="9"/>
      <c r="AG884" s="9"/>
      <c r="AH884" s="9"/>
      <c r="AI884" s="9"/>
      <c r="AJ884" s="9"/>
      <c r="AK884" s="9"/>
      <c r="AL884" s="9"/>
      <c r="AM884" s="9"/>
      <c r="AN884" s="9"/>
      <c r="AO884" s="9"/>
      <c r="AP884" s="9"/>
      <c r="AQ884" s="9"/>
      <c r="AR884" s="9"/>
      <c r="AS884" s="9"/>
      <c r="AT884" s="9"/>
      <c r="AU884" s="9"/>
      <c r="AV884" s="9"/>
      <c r="AW884" s="9"/>
      <c r="AX884" s="9"/>
    </row>
    <row r="885" spans="1:50" ht="15.75" customHeight="1" x14ac:dyDescent="0.2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212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  <c r="AA885" s="212"/>
      <c r="AB885" s="9"/>
      <c r="AC885" s="9"/>
      <c r="AD885" s="9"/>
      <c r="AE885" s="9"/>
      <c r="AF885" s="9"/>
      <c r="AG885" s="9"/>
      <c r="AH885" s="9"/>
      <c r="AI885" s="9"/>
      <c r="AJ885" s="9"/>
      <c r="AK885" s="9"/>
      <c r="AL885" s="9"/>
      <c r="AM885" s="9"/>
      <c r="AN885" s="9"/>
      <c r="AO885" s="9"/>
      <c r="AP885" s="9"/>
      <c r="AQ885" s="9"/>
      <c r="AR885" s="9"/>
      <c r="AS885" s="9"/>
      <c r="AT885" s="9"/>
      <c r="AU885" s="9"/>
      <c r="AV885" s="9"/>
      <c r="AW885" s="9"/>
      <c r="AX885" s="9"/>
    </row>
    <row r="886" spans="1:50" ht="15.75" customHeight="1" x14ac:dyDescent="0.2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212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  <c r="AA886" s="212"/>
      <c r="AB886" s="9"/>
      <c r="AC886" s="9"/>
      <c r="AD886" s="9"/>
      <c r="AE886" s="9"/>
      <c r="AF886" s="9"/>
      <c r="AG886" s="9"/>
      <c r="AH886" s="9"/>
      <c r="AI886" s="9"/>
      <c r="AJ886" s="9"/>
      <c r="AK886" s="9"/>
      <c r="AL886" s="9"/>
      <c r="AM886" s="9"/>
      <c r="AN886" s="9"/>
      <c r="AO886" s="9"/>
      <c r="AP886" s="9"/>
      <c r="AQ886" s="9"/>
      <c r="AR886" s="9"/>
      <c r="AS886" s="9"/>
      <c r="AT886" s="9"/>
      <c r="AU886" s="9"/>
      <c r="AV886" s="9"/>
      <c r="AW886" s="9"/>
      <c r="AX886" s="9"/>
    </row>
    <row r="887" spans="1:50" ht="15.75" customHeight="1" x14ac:dyDescent="0.2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212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  <c r="AA887" s="212"/>
      <c r="AB887" s="9"/>
      <c r="AC887" s="9"/>
      <c r="AD887" s="9"/>
      <c r="AE887" s="9"/>
      <c r="AF887" s="9"/>
      <c r="AG887" s="9"/>
      <c r="AH887" s="9"/>
      <c r="AI887" s="9"/>
      <c r="AJ887" s="9"/>
      <c r="AK887" s="9"/>
      <c r="AL887" s="9"/>
      <c r="AM887" s="9"/>
      <c r="AN887" s="9"/>
      <c r="AO887" s="9"/>
      <c r="AP887" s="9"/>
      <c r="AQ887" s="9"/>
      <c r="AR887" s="9"/>
      <c r="AS887" s="9"/>
      <c r="AT887" s="9"/>
      <c r="AU887" s="9"/>
      <c r="AV887" s="9"/>
      <c r="AW887" s="9"/>
      <c r="AX887" s="9"/>
    </row>
    <row r="888" spans="1:50" ht="15.75" customHeight="1" x14ac:dyDescent="0.2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212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  <c r="AA888" s="212"/>
      <c r="AB888" s="9"/>
      <c r="AC888" s="9"/>
      <c r="AD888" s="9"/>
      <c r="AE888" s="9"/>
      <c r="AF888" s="9"/>
      <c r="AG888" s="9"/>
      <c r="AH888" s="9"/>
      <c r="AI888" s="9"/>
      <c r="AJ888" s="9"/>
      <c r="AK888" s="9"/>
      <c r="AL888" s="9"/>
      <c r="AM888" s="9"/>
      <c r="AN888" s="9"/>
      <c r="AO888" s="9"/>
      <c r="AP888" s="9"/>
      <c r="AQ888" s="9"/>
      <c r="AR888" s="9"/>
      <c r="AS888" s="9"/>
      <c r="AT888" s="9"/>
      <c r="AU888" s="9"/>
      <c r="AV888" s="9"/>
      <c r="AW888" s="9"/>
      <c r="AX888" s="9"/>
    </row>
    <row r="889" spans="1:50" ht="15.75" customHeight="1" x14ac:dyDescent="0.2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212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  <c r="AA889" s="212"/>
      <c r="AB889" s="9"/>
      <c r="AC889" s="9"/>
      <c r="AD889" s="9"/>
      <c r="AE889" s="9"/>
      <c r="AF889" s="9"/>
      <c r="AG889" s="9"/>
      <c r="AH889" s="9"/>
      <c r="AI889" s="9"/>
      <c r="AJ889" s="9"/>
      <c r="AK889" s="9"/>
      <c r="AL889" s="9"/>
      <c r="AM889" s="9"/>
      <c r="AN889" s="9"/>
      <c r="AO889" s="9"/>
      <c r="AP889" s="9"/>
      <c r="AQ889" s="9"/>
      <c r="AR889" s="9"/>
      <c r="AS889" s="9"/>
      <c r="AT889" s="9"/>
      <c r="AU889" s="9"/>
      <c r="AV889" s="9"/>
      <c r="AW889" s="9"/>
      <c r="AX889" s="9"/>
    </row>
    <row r="890" spans="1:50" ht="15.75" customHeight="1" x14ac:dyDescent="0.2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212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  <c r="AA890" s="212"/>
      <c r="AB890" s="9"/>
      <c r="AC890" s="9"/>
      <c r="AD890" s="9"/>
      <c r="AE890" s="9"/>
      <c r="AF890" s="9"/>
      <c r="AG890" s="9"/>
      <c r="AH890" s="9"/>
      <c r="AI890" s="9"/>
      <c r="AJ890" s="9"/>
      <c r="AK890" s="9"/>
      <c r="AL890" s="9"/>
      <c r="AM890" s="9"/>
      <c r="AN890" s="9"/>
      <c r="AO890" s="9"/>
      <c r="AP890" s="9"/>
      <c r="AQ890" s="9"/>
      <c r="AR890" s="9"/>
      <c r="AS890" s="9"/>
      <c r="AT890" s="9"/>
      <c r="AU890" s="9"/>
      <c r="AV890" s="9"/>
      <c r="AW890" s="9"/>
      <c r="AX890" s="9"/>
    </row>
    <row r="891" spans="1:50" ht="15.75" customHeight="1" x14ac:dyDescent="0.2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212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  <c r="AA891" s="212"/>
      <c r="AB891" s="9"/>
      <c r="AC891" s="9"/>
      <c r="AD891" s="9"/>
      <c r="AE891" s="9"/>
      <c r="AF891" s="9"/>
      <c r="AG891" s="9"/>
      <c r="AH891" s="9"/>
      <c r="AI891" s="9"/>
      <c r="AJ891" s="9"/>
      <c r="AK891" s="9"/>
      <c r="AL891" s="9"/>
      <c r="AM891" s="9"/>
      <c r="AN891" s="9"/>
      <c r="AO891" s="9"/>
      <c r="AP891" s="9"/>
      <c r="AQ891" s="9"/>
      <c r="AR891" s="9"/>
      <c r="AS891" s="9"/>
      <c r="AT891" s="9"/>
      <c r="AU891" s="9"/>
      <c r="AV891" s="9"/>
      <c r="AW891" s="9"/>
      <c r="AX891" s="9"/>
    </row>
    <row r="892" spans="1:50" ht="15.75" customHeight="1" x14ac:dyDescent="0.2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212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  <c r="AA892" s="212"/>
      <c r="AB892" s="9"/>
      <c r="AC892" s="9"/>
      <c r="AD892" s="9"/>
      <c r="AE892" s="9"/>
      <c r="AF892" s="9"/>
      <c r="AG892" s="9"/>
      <c r="AH892" s="9"/>
      <c r="AI892" s="9"/>
      <c r="AJ892" s="9"/>
      <c r="AK892" s="9"/>
      <c r="AL892" s="9"/>
      <c r="AM892" s="9"/>
      <c r="AN892" s="9"/>
      <c r="AO892" s="9"/>
      <c r="AP892" s="9"/>
      <c r="AQ892" s="9"/>
      <c r="AR892" s="9"/>
      <c r="AS892" s="9"/>
      <c r="AT892" s="9"/>
      <c r="AU892" s="9"/>
      <c r="AV892" s="9"/>
      <c r="AW892" s="9"/>
      <c r="AX892" s="9"/>
    </row>
    <row r="893" spans="1:50" ht="15.75" customHeight="1" x14ac:dyDescent="0.2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212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  <c r="AA893" s="212"/>
      <c r="AB893" s="9"/>
      <c r="AC893" s="9"/>
      <c r="AD893" s="9"/>
      <c r="AE893" s="9"/>
      <c r="AF893" s="9"/>
      <c r="AG893" s="9"/>
      <c r="AH893" s="9"/>
      <c r="AI893" s="9"/>
      <c r="AJ893" s="9"/>
      <c r="AK893" s="9"/>
      <c r="AL893" s="9"/>
      <c r="AM893" s="9"/>
      <c r="AN893" s="9"/>
      <c r="AO893" s="9"/>
      <c r="AP893" s="9"/>
      <c r="AQ893" s="9"/>
      <c r="AR893" s="9"/>
      <c r="AS893" s="9"/>
      <c r="AT893" s="9"/>
      <c r="AU893" s="9"/>
      <c r="AV893" s="9"/>
      <c r="AW893" s="9"/>
      <c r="AX893" s="9"/>
    </row>
    <row r="894" spans="1:50" ht="15.75" customHeight="1" x14ac:dyDescent="0.2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212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  <c r="AA894" s="212"/>
      <c r="AB894" s="9"/>
      <c r="AC894" s="9"/>
      <c r="AD894" s="9"/>
      <c r="AE894" s="9"/>
      <c r="AF894" s="9"/>
      <c r="AG894" s="9"/>
      <c r="AH894" s="9"/>
      <c r="AI894" s="9"/>
      <c r="AJ894" s="9"/>
      <c r="AK894" s="9"/>
      <c r="AL894" s="9"/>
      <c r="AM894" s="9"/>
      <c r="AN894" s="9"/>
      <c r="AO894" s="9"/>
      <c r="AP894" s="9"/>
      <c r="AQ894" s="9"/>
      <c r="AR894" s="9"/>
      <c r="AS894" s="9"/>
      <c r="AT894" s="9"/>
      <c r="AU894" s="9"/>
      <c r="AV894" s="9"/>
      <c r="AW894" s="9"/>
      <c r="AX894" s="9"/>
    </row>
    <row r="895" spans="1:50" ht="15.75" customHeight="1" x14ac:dyDescent="0.2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212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  <c r="AA895" s="212"/>
      <c r="AB895" s="9"/>
      <c r="AC895" s="9"/>
      <c r="AD895" s="9"/>
      <c r="AE895" s="9"/>
      <c r="AF895" s="9"/>
      <c r="AG895" s="9"/>
      <c r="AH895" s="9"/>
      <c r="AI895" s="9"/>
      <c r="AJ895" s="9"/>
      <c r="AK895" s="9"/>
      <c r="AL895" s="9"/>
      <c r="AM895" s="9"/>
      <c r="AN895" s="9"/>
      <c r="AO895" s="9"/>
      <c r="AP895" s="9"/>
      <c r="AQ895" s="9"/>
      <c r="AR895" s="9"/>
      <c r="AS895" s="9"/>
      <c r="AT895" s="9"/>
      <c r="AU895" s="9"/>
      <c r="AV895" s="9"/>
      <c r="AW895" s="9"/>
      <c r="AX895" s="9"/>
    </row>
    <row r="896" spans="1:50" ht="15.75" customHeight="1" x14ac:dyDescent="0.2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212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  <c r="AA896" s="212"/>
      <c r="AB896" s="9"/>
      <c r="AC896" s="9"/>
      <c r="AD896" s="9"/>
      <c r="AE896" s="9"/>
      <c r="AF896" s="9"/>
      <c r="AG896" s="9"/>
      <c r="AH896" s="9"/>
      <c r="AI896" s="9"/>
      <c r="AJ896" s="9"/>
      <c r="AK896" s="9"/>
      <c r="AL896" s="9"/>
      <c r="AM896" s="9"/>
      <c r="AN896" s="9"/>
      <c r="AO896" s="9"/>
      <c r="AP896" s="9"/>
      <c r="AQ896" s="9"/>
      <c r="AR896" s="9"/>
      <c r="AS896" s="9"/>
      <c r="AT896" s="9"/>
      <c r="AU896" s="9"/>
      <c r="AV896" s="9"/>
      <c r="AW896" s="9"/>
      <c r="AX896" s="9"/>
    </row>
    <row r="897" spans="1:50" ht="15.75" customHeight="1" x14ac:dyDescent="0.2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212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  <c r="AA897" s="212"/>
      <c r="AB897" s="9"/>
      <c r="AC897" s="9"/>
      <c r="AD897" s="9"/>
      <c r="AE897" s="9"/>
      <c r="AF897" s="9"/>
      <c r="AG897" s="9"/>
      <c r="AH897" s="9"/>
      <c r="AI897" s="9"/>
      <c r="AJ897" s="9"/>
      <c r="AK897" s="9"/>
      <c r="AL897" s="9"/>
      <c r="AM897" s="9"/>
      <c r="AN897" s="9"/>
      <c r="AO897" s="9"/>
      <c r="AP897" s="9"/>
      <c r="AQ897" s="9"/>
      <c r="AR897" s="9"/>
      <c r="AS897" s="9"/>
      <c r="AT897" s="9"/>
      <c r="AU897" s="9"/>
      <c r="AV897" s="9"/>
      <c r="AW897" s="9"/>
      <c r="AX897" s="9"/>
    </row>
    <row r="898" spans="1:50" ht="15.75" customHeight="1" x14ac:dyDescent="0.2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212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  <c r="AA898" s="212"/>
      <c r="AB898" s="9"/>
      <c r="AC898" s="9"/>
      <c r="AD898" s="9"/>
      <c r="AE898" s="9"/>
      <c r="AF898" s="9"/>
      <c r="AG898" s="9"/>
      <c r="AH898" s="9"/>
      <c r="AI898" s="9"/>
      <c r="AJ898" s="9"/>
      <c r="AK898" s="9"/>
      <c r="AL898" s="9"/>
      <c r="AM898" s="9"/>
      <c r="AN898" s="9"/>
      <c r="AO898" s="9"/>
      <c r="AP898" s="9"/>
      <c r="AQ898" s="9"/>
      <c r="AR898" s="9"/>
      <c r="AS898" s="9"/>
      <c r="AT898" s="9"/>
      <c r="AU898" s="9"/>
      <c r="AV898" s="9"/>
      <c r="AW898" s="9"/>
      <c r="AX898" s="9"/>
    </row>
    <row r="899" spans="1:50" ht="15.75" customHeight="1" x14ac:dyDescent="0.2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212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  <c r="AA899" s="212"/>
      <c r="AB899" s="9"/>
      <c r="AC899" s="9"/>
      <c r="AD899" s="9"/>
      <c r="AE899" s="9"/>
      <c r="AF899" s="9"/>
      <c r="AG899" s="9"/>
      <c r="AH899" s="9"/>
      <c r="AI899" s="9"/>
      <c r="AJ899" s="9"/>
      <c r="AK899" s="9"/>
      <c r="AL899" s="9"/>
      <c r="AM899" s="9"/>
      <c r="AN899" s="9"/>
      <c r="AO899" s="9"/>
      <c r="AP899" s="9"/>
      <c r="AQ899" s="9"/>
      <c r="AR899" s="9"/>
      <c r="AS899" s="9"/>
      <c r="AT899" s="9"/>
      <c r="AU899" s="9"/>
      <c r="AV899" s="9"/>
      <c r="AW899" s="9"/>
      <c r="AX899" s="9"/>
    </row>
    <row r="900" spans="1:50" ht="15.75" customHeight="1" x14ac:dyDescent="0.2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212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  <c r="AA900" s="212"/>
      <c r="AB900" s="9"/>
      <c r="AC900" s="9"/>
      <c r="AD900" s="9"/>
      <c r="AE900" s="9"/>
      <c r="AF900" s="9"/>
      <c r="AG900" s="9"/>
      <c r="AH900" s="9"/>
      <c r="AI900" s="9"/>
      <c r="AJ900" s="9"/>
      <c r="AK900" s="9"/>
      <c r="AL900" s="9"/>
      <c r="AM900" s="9"/>
      <c r="AN900" s="9"/>
      <c r="AO900" s="9"/>
      <c r="AP900" s="9"/>
      <c r="AQ900" s="9"/>
      <c r="AR900" s="9"/>
      <c r="AS900" s="9"/>
      <c r="AT900" s="9"/>
      <c r="AU900" s="9"/>
      <c r="AV900" s="9"/>
      <c r="AW900" s="9"/>
      <c r="AX900" s="9"/>
    </row>
    <row r="901" spans="1:50" ht="15.75" customHeight="1" x14ac:dyDescent="0.2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212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  <c r="AA901" s="212"/>
      <c r="AB901" s="9"/>
      <c r="AC901" s="9"/>
      <c r="AD901" s="9"/>
      <c r="AE901" s="9"/>
      <c r="AF901" s="9"/>
      <c r="AG901" s="9"/>
      <c r="AH901" s="9"/>
      <c r="AI901" s="9"/>
      <c r="AJ901" s="9"/>
      <c r="AK901" s="9"/>
      <c r="AL901" s="9"/>
      <c r="AM901" s="9"/>
      <c r="AN901" s="9"/>
      <c r="AO901" s="9"/>
      <c r="AP901" s="9"/>
      <c r="AQ901" s="9"/>
      <c r="AR901" s="9"/>
      <c r="AS901" s="9"/>
      <c r="AT901" s="9"/>
      <c r="AU901" s="9"/>
      <c r="AV901" s="9"/>
      <c r="AW901" s="9"/>
      <c r="AX901" s="9"/>
    </row>
    <row r="902" spans="1:50" ht="15.75" customHeight="1" x14ac:dyDescent="0.2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212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  <c r="AA902" s="212"/>
      <c r="AB902" s="9"/>
      <c r="AC902" s="9"/>
      <c r="AD902" s="9"/>
      <c r="AE902" s="9"/>
      <c r="AF902" s="9"/>
      <c r="AG902" s="9"/>
      <c r="AH902" s="9"/>
      <c r="AI902" s="9"/>
      <c r="AJ902" s="9"/>
      <c r="AK902" s="9"/>
      <c r="AL902" s="9"/>
      <c r="AM902" s="9"/>
      <c r="AN902" s="9"/>
      <c r="AO902" s="9"/>
      <c r="AP902" s="9"/>
      <c r="AQ902" s="9"/>
      <c r="AR902" s="9"/>
      <c r="AS902" s="9"/>
      <c r="AT902" s="9"/>
      <c r="AU902" s="9"/>
      <c r="AV902" s="9"/>
      <c r="AW902" s="9"/>
      <c r="AX902" s="9"/>
    </row>
    <row r="903" spans="1:50" ht="15.75" customHeight="1" x14ac:dyDescent="0.2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212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  <c r="AA903" s="212"/>
      <c r="AB903" s="9"/>
      <c r="AC903" s="9"/>
      <c r="AD903" s="9"/>
      <c r="AE903" s="9"/>
      <c r="AF903" s="9"/>
      <c r="AG903" s="9"/>
      <c r="AH903" s="9"/>
      <c r="AI903" s="9"/>
      <c r="AJ903" s="9"/>
      <c r="AK903" s="9"/>
      <c r="AL903" s="9"/>
      <c r="AM903" s="9"/>
      <c r="AN903" s="9"/>
      <c r="AO903" s="9"/>
      <c r="AP903" s="9"/>
      <c r="AQ903" s="9"/>
      <c r="AR903" s="9"/>
      <c r="AS903" s="9"/>
      <c r="AT903" s="9"/>
      <c r="AU903" s="9"/>
      <c r="AV903" s="9"/>
      <c r="AW903" s="9"/>
      <c r="AX903" s="9"/>
    </row>
    <row r="904" spans="1:50" ht="15.75" customHeight="1" x14ac:dyDescent="0.2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212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  <c r="AA904" s="212"/>
      <c r="AB904" s="9"/>
      <c r="AC904" s="9"/>
      <c r="AD904" s="9"/>
      <c r="AE904" s="9"/>
      <c r="AF904" s="9"/>
      <c r="AG904" s="9"/>
      <c r="AH904" s="9"/>
      <c r="AI904" s="9"/>
      <c r="AJ904" s="9"/>
      <c r="AK904" s="9"/>
      <c r="AL904" s="9"/>
      <c r="AM904" s="9"/>
      <c r="AN904" s="9"/>
      <c r="AO904" s="9"/>
      <c r="AP904" s="9"/>
      <c r="AQ904" s="9"/>
      <c r="AR904" s="9"/>
      <c r="AS904" s="9"/>
      <c r="AT904" s="9"/>
      <c r="AU904" s="9"/>
      <c r="AV904" s="9"/>
      <c r="AW904" s="9"/>
      <c r="AX904" s="9"/>
    </row>
    <row r="905" spans="1:50" ht="15.75" customHeight="1" x14ac:dyDescent="0.2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212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  <c r="AA905" s="212"/>
      <c r="AB905" s="9"/>
      <c r="AC905" s="9"/>
      <c r="AD905" s="9"/>
      <c r="AE905" s="9"/>
      <c r="AF905" s="9"/>
      <c r="AG905" s="9"/>
      <c r="AH905" s="9"/>
      <c r="AI905" s="9"/>
      <c r="AJ905" s="9"/>
      <c r="AK905" s="9"/>
      <c r="AL905" s="9"/>
      <c r="AM905" s="9"/>
      <c r="AN905" s="9"/>
      <c r="AO905" s="9"/>
      <c r="AP905" s="9"/>
      <c r="AQ905" s="9"/>
      <c r="AR905" s="9"/>
      <c r="AS905" s="9"/>
      <c r="AT905" s="9"/>
      <c r="AU905" s="9"/>
      <c r="AV905" s="9"/>
      <c r="AW905" s="9"/>
      <c r="AX905" s="9"/>
    </row>
    <row r="906" spans="1:50" ht="15.75" customHeight="1" x14ac:dyDescent="0.2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212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  <c r="AA906" s="212"/>
      <c r="AB906" s="9"/>
      <c r="AC906" s="9"/>
      <c r="AD906" s="9"/>
      <c r="AE906" s="9"/>
      <c r="AF906" s="9"/>
      <c r="AG906" s="9"/>
      <c r="AH906" s="9"/>
      <c r="AI906" s="9"/>
      <c r="AJ906" s="9"/>
      <c r="AK906" s="9"/>
      <c r="AL906" s="9"/>
      <c r="AM906" s="9"/>
      <c r="AN906" s="9"/>
      <c r="AO906" s="9"/>
      <c r="AP906" s="9"/>
      <c r="AQ906" s="9"/>
      <c r="AR906" s="9"/>
      <c r="AS906" s="9"/>
      <c r="AT906" s="9"/>
      <c r="AU906" s="9"/>
      <c r="AV906" s="9"/>
      <c r="AW906" s="9"/>
      <c r="AX906" s="9"/>
    </row>
    <row r="907" spans="1:50" ht="15.75" customHeight="1" x14ac:dyDescent="0.2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212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  <c r="AA907" s="212"/>
      <c r="AB907" s="9"/>
      <c r="AC907" s="9"/>
      <c r="AD907" s="9"/>
      <c r="AE907" s="9"/>
      <c r="AF907" s="9"/>
      <c r="AG907" s="9"/>
      <c r="AH907" s="9"/>
      <c r="AI907" s="9"/>
      <c r="AJ907" s="9"/>
      <c r="AK907" s="9"/>
      <c r="AL907" s="9"/>
      <c r="AM907" s="9"/>
      <c r="AN907" s="9"/>
      <c r="AO907" s="9"/>
      <c r="AP907" s="9"/>
      <c r="AQ907" s="9"/>
      <c r="AR907" s="9"/>
      <c r="AS907" s="9"/>
      <c r="AT907" s="9"/>
      <c r="AU907" s="9"/>
      <c r="AV907" s="9"/>
      <c r="AW907" s="9"/>
      <c r="AX907" s="9"/>
    </row>
    <row r="908" spans="1:50" ht="15.75" customHeight="1" x14ac:dyDescent="0.2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212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  <c r="AA908" s="212"/>
      <c r="AB908" s="9"/>
      <c r="AC908" s="9"/>
      <c r="AD908" s="9"/>
      <c r="AE908" s="9"/>
      <c r="AF908" s="9"/>
      <c r="AG908" s="9"/>
      <c r="AH908" s="9"/>
      <c r="AI908" s="9"/>
      <c r="AJ908" s="9"/>
      <c r="AK908" s="9"/>
      <c r="AL908" s="9"/>
      <c r="AM908" s="9"/>
      <c r="AN908" s="9"/>
      <c r="AO908" s="9"/>
      <c r="AP908" s="9"/>
      <c r="AQ908" s="9"/>
      <c r="AR908" s="9"/>
      <c r="AS908" s="9"/>
      <c r="AT908" s="9"/>
      <c r="AU908" s="9"/>
      <c r="AV908" s="9"/>
      <c r="AW908" s="9"/>
      <c r="AX908" s="9"/>
    </row>
    <row r="909" spans="1:50" ht="15.75" customHeight="1" x14ac:dyDescent="0.2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212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  <c r="AA909" s="212"/>
      <c r="AB909" s="9"/>
      <c r="AC909" s="9"/>
      <c r="AD909" s="9"/>
      <c r="AE909" s="9"/>
      <c r="AF909" s="9"/>
      <c r="AG909" s="9"/>
      <c r="AH909" s="9"/>
      <c r="AI909" s="9"/>
      <c r="AJ909" s="9"/>
      <c r="AK909" s="9"/>
      <c r="AL909" s="9"/>
      <c r="AM909" s="9"/>
      <c r="AN909" s="9"/>
      <c r="AO909" s="9"/>
      <c r="AP909" s="9"/>
      <c r="AQ909" s="9"/>
      <c r="AR909" s="9"/>
      <c r="AS909" s="9"/>
      <c r="AT909" s="9"/>
      <c r="AU909" s="9"/>
      <c r="AV909" s="9"/>
      <c r="AW909" s="9"/>
      <c r="AX909" s="9"/>
    </row>
    <row r="910" spans="1:50" ht="15.75" customHeight="1" x14ac:dyDescent="0.2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212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  <c r="AA910" s="212"/>
      <c r="AB910" s="9"/>
      <c r="AC910" s="9"/>
      <c r="AD910" s="9"/>
      <c r="AE910" s="9"/>
      <c r="AF910" s="9"/>
      <c r="AG910" s="9"/>
      <c r="AH910" s="9"/>
      <c r="AI910" s="9"/>
      <c r="AJ910" s="9"/>
      <c r="AK910" s="9"/>
      <c r="AL910" s="9"/>
      <c r="AM910" s="9"/>
      <c r="AN910" s="9"/>
      <c r="AO910" s="9"/>
      <c r="AP910" s="9"/>
      <c r="AQ910" s="9"/>
      <c r="AR910" s="9"/>
      <c r="AS910" s="9"/>
      <c r="AT910" s="9"/>
      <c r="AU910" s="9"/>
      <c r="AV910" s="9"/>
      <c r="AW910" s="9"/>
      <c r="AX910" s="9"/>
    </row>
    <row r="911" spans="1:50" ht="15.75" customHeight="1" x14ac:dyDescent="0.2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212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  <c r="AA911" s="212"/>
      <c r="AB911" s="9"/>
      <c r="AC911" s="9"/>
      <c r="AD911" s="9"/>
      <c r="AE911" s="9"/>
      <c r="AF911" s="9"/>
      <c r="AG911" s="9"/>
      <c r="AH911" s="9"/>
      <c r="AI911" s="9"/>
      <c r="AJ911" s="9"/>
      <c r="AK911" s="9"/>
      <c r="AL911" s="9"/>
      <c r="AM911" s="9"/>
      <c r="AN911" s="9"/>
      <c r="AO911" s="9"/>
      <c r="AP911" s="9"/>
      <c r="AQ911" s="9"/>
      <c r="AR911" s="9"/>
      <c r="AS911" s="9"/>
      <c r="AT911" s="9"/>
      <c r="AU911" s="9"/>
      <c r="AV911" s="9"/>
      <c r="AW911" s="9"/>
      <c r="AX911" s="9"/>
    </row>
    <row r="912" spans="1:50" ht="15.75" customHeight="1" x14ac:dyDescent="0.2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212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  <c r="AA912" s="212"/>
      <c r="AB912" s="9"/>
      <c r="AC912" s="9"/>
      <c r="AD912" s="9"/>
      <c r="AE912" s="9"/>
      <c r="AF912" s="9"/>
      <c r="AG912" s="9"/>
      <c r="AH912" s="9"/>
      <c r="AI912" s="9"/>
      <c r="AJ912" s="9"/>
      <c r="AK912" s="9"/>
      <c r="AL912" s="9"/>
      <c r="AM912" s="9"/>
      <c r="AN912" s="9"/>
      <c r="AO912" s="9"/>
      <c r="AP912" s="9"/>
      <c r="AQ912" s="9"/>
      <c r="AR912" s="9"/>
      <c r="AS912" s="9"/>
      <c r="AT912" s="9"/>
      <c r="AU912" s="9"/>
      <c r="AV912" s="9"/>
      <c r="AW912" s="9"/>
      <c r="AX912" s="9"/>
    </row>
    <row r="913" spans="1:50" ht="15.75" customHeight="1" x14ac:dyDescent="0.2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212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  <c r="AA913" s="212"/>
      <c r="AB913" s="9"/>
      <c r="AC913" s="9"/>
      <c r="AD913" s="9"/>
      <c r="AE913" s="9"/>
      <c r="AF913" s="9"/>
      <c r="AG913" s="9"/>
      <c r="AH913" s="9"/>
      <c r="AI913" s="9"/>
      <c r="AJ913" s="9"/>
      <c r="AK913" s="9"/>
      <c r="AL913" s="9"/>
      <c r="AM913" s="9"/>
      <c r="AN913" s="9"/>
      <c r="AO913" s="9"/>
      <c r="AP913" s="9"/>
      <c r="AQ913" s="9"/>
      <c r="AR913" s="9"/>
      <c r="AS913" s="9"/>
      <c r="AT913" s="9"/>
      <c r="AU913" s="9"/>
      <c r="AV913" s="9"/>
      <c r="AW913" s="9"/>
      <c r="AX913" s="9"/>
    </row>
    <row r="914" spans="1:50" ht="15.75" customHeight="1" x14ac:dyDescent="0.2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212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  <c r="AA914" s="212"/>
      <c r="AB914" s="9"/>
      <c r="AC914" s="9"/>
      <c r="AD914" s="9"/>
      <c r="AE914" s="9"/>
      <c r="AF914" s="9"/>
      <c r="AG914" s="9"/>
      <c r="AH914" s="9"/>
      <c r="AI914" s="9"/>
      <c r="AJ914" s="9"/>
      <c r="AK914" s="9"/>
      <c r="AL914" s="9"/>
      <c r="AM914" s="9"/>
      <c r="AN914" s="9"/>
      <c r="AO914" s="9"/>
      <c r="AP914" s="9"/>
      <c r="AQ914" s="9"/>
      <c r="AR914" s="9"/>
      <c r="AS914" s="9"/>
      <c r="AT914" s="9"/>
      <c r="AU914" s="9"/>
      <c r="AV914" s="9"/>
      <c r="AW914" s="9"/>
      <c r="AX914" s="9"/>
    </row>
    <row r="915" spans="1:50" ht="15.75" customHeight="1" x14ac:dyDescent="0.2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212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  <c r="AA915" s="212"/>
      <c r="AB915" s="9"/>
      <c r="AC915" s="9"/>
      <c r="AD915" s="9"/>
      <c r="AE915" s="9"/>
      <c r="AF915" s="9"/>
      <c r="AG915" s="9"/>
      <c r="AH915" s="9"/>
      <c r="AI915" s="9"/>
      <c r="AJ915" s="9"/>
      <c r="AK915" s="9"/>
      <c r="AL915" s="9"/>
      <c r="AM915" s="9"/>
      <c r="AN915" s="9"/>
      <c r="AO915" s="9"/>
      <c r="AP915" s="9"/>
      <c r="AQ915" s="9"/>
      <c r="AR915" s="9"/>
      <c r="AS915" s="9"/>
      <c r="AT915" s="9"/>
      <c r="AU915" s="9"/>
      <c r="AV915" s="9"/>
      <c r="AW915" s="9"/>
      <c r="AX915" s="9"/>
    </row>
    <row r="916" spans="1:50" ht="15.75" customHeight="1" x14ac:dyDescent="0.2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212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  <c r="AA916" s="212"/>
      <c r="AB916" s="9"/>
      <c r="AC916" s="9"/>
      <c r="AD916" s="9"/>
      <c r="AE916" s="9"/>
      <c r="AF916" s="9"/>
      <c r="AG916" s="9"/>
      <c r="AH916" s="9"/>
      <c r="AI916" s="9"/>
      <c r="AJ916" s="9"/>
      <c r="AK916" s="9"/>
      <c r="AL916" s="9"/>
      <c r="AM916" s="9"/>
      <c r="AN916" s="9"/>
      <c r="AO916" s="9"/>
      <c r="AP916" s="9"/>
      <c r="AQ916" s="9"/>
      <c r="AR916" s="9"/>
      <c r="AS916" s="9"/>
      <c r="AT916" s="9"/>
      <c r="AU916" s="9"/>
      <c r="AV916" s="9"/>
      <c r="AW916" s="9"/>
      <c r="AX916" s="9"/>
    </row>
    <row r="917" spans="1:50" ht="15.75" customHeight="1" x14ac:dyDescent="0.2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212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  <c r="AA917" s="212"/>
      <c r="AB917" s="9"/>
      <c r="AC917" s="9"/>
      <c r="AD917" s="9"/>
      <c r="AE917" s="9"/>
      <c r="AF917" s="9"/>
      <c r="AG917" s="9"/>
      <c r="AH917" s="9"/>
      <c r="AI917" s="9"/>
      <c r="AJ917" s="9"/>
      <c r="AK917" s="9"/>
      <c r="AL917" s="9"/>
      <c r="AM917" s="9"/>
      <c r="AN917" s="9"/>
      <c r="AO917" s="9"/>
      <c r="AP917" s="9"/>
      <c r="AQ917" s="9"/>
      <c r="AR917" s="9"/>
      <c r="AS917" s="9"/>
      <c r="AT917" s="9"/>
      <c r="AU917" s="9"/>
      <c r="AV917" s="9"/>
      <c r="AW917" s="9"/>
      <c r="AX917" s="9"/>
    </row>
    <row r="918" spans="1:50" ht="15.75" customHeight="1" x14ac:dyDescent="0.2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212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  <c r="AA918" s="212"/>
      <c r="AB918" s="9"/>
      <c r="AC918" s="9"/>
      <c r="AD918" s="9"/>
      <c r="AE918" s="9"/>
      <c r="AF918" s="9"/>
      <c r="AG918" s="9"/>
      <c r="AH918" s="9"/>
      <c r="AI918" s="9"/>
      <c r="AJ918" s="9"/>
      <c r="AK918" s="9"/>
      <c r="AL918" s="9"/>
      <c r="AM918" s="9"/>
      <c r="AN918" s="9"/>
      <c r="AO918" s="9"/>
      <c r="AP918" s="9"/>
      <c r="AQ918" s="9"/>
      <c r="AR918" s="9"/>
      <c r="AS918" s="9"/>
      <c r="AT918" s="9"/>
      <c r="AU918" s="9"/>
      <c r="AV918" s="9"/>
      <c r="AW918" s="9"/>
      <c r="AX918" s="9"/>
    </row>
    <row r="919" spans="1:50" ht="15.75" customHeight="1" x14ac:dyDescent="0.2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212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  <c r="AA919" s="212"/>
      <c r="AB919" s="9"/>
      <c r="AC919" s="9"/>
      <c r="AD919" s="9"/>
      <c r="AE919" s="9"/>
      <c r="AF919" s="9"/>
      <c r="AG919" s="9"/>
      <c r="AH919" s="9"/>
      <c r="AI919" s="9"/>
      <c r="AJ919" s="9"/>
      <c r="AK919" s="9"/>
      <c r="AL919" s="9"/>
      <c r="AM919" s="9"/>
      <c r="AN919" s="9"/>
      <c r="AO919" s="9"/>
      <c r="AP919" s="9"/>
      <c r="AQ919" s="9"/>
      <c r="AR919" s="9"/>
      <c r="AS919" s="9"/>
      <c r="AT919" s="9"/>
      <c r="AU919" s="9"/>
      <c r="AV919" s="9"/>
      <c r="AW919" s="9"/>
      <c r="AX919" s="9"/>
    </row>
    <row r="920" spans="1:50" ht="15.75" customHeight="1" x14ac:dyDescent="0.2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212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  <c r="AA920" s="212"/>
      <c r="AB920" s="9"/>
      <c r="AC920" s="9"/>
      <c r="AD920" s="9"/>
      <c r="AE920" s="9"/>
      <c r="AF920" s="9"/>
      <c r="AG920" s="9"/>
      <c r="AH920" s="9"/>
      <c r="AI920" s="9"/>
      <c r="AJ920" s="9"/>
      <c r="AK920" s="9"/>
      <c r="AL920" s="9"/>
      <c r="AM920" s="9"/>
      <c r="AN920" s="9"/>
      <c r="AO920" s="9"/>
      <c r="AP920" s="9"/>
      <c r="AQ920" s="9"/>
      <c r="AR920" s="9"/>
      <c r="AS920" s="9"/>
      <c r="AT920" s="9"/>
      <c r="AU920" s="9"/>
      <c r="AV920" s="9"/>
      <c r="AW920" s="9"/>
      <c r="AX920" s="9"/>
    </row>
    <row r="921" spans="1:50" ht="15.75" customHeight="1" x14ac:dyDescent="0.2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212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  <c r="AA921" s="212"/>
      <c r="AB921" s="9"/>
      <c r="AC921" s="9"/>
      <c r="AD921" s="9"/>
      <c r="AE921" s="9"/>
      <c r="AF921" s="9"/>
      <c r="AG921" s="9"/>
      <c r="AH921" s="9"/>
      <c r="AI921" s="9"/>
      <c r="AJ921" s="9"/>
      <c r="AK921" s="9"/>
      <c r="AL921" s="9"/>
      <c r="AM921" s="9"/>
      <c r="AN921" s="9"/>
      <c r="AO921" s="9"/>
      <c r="AP921" s="9"/>
      <c r="AQ921" s="9"/>
      <c r="AR921" s="9"/>
      <c r="AS921" s="9"/>
      <c r="AT921" s="9"/>
      <c r="AU921" s="9"/>
      <c r="AV921" s="9"/>
      <c r="AW921" s="9"/>
      <c r="AX921" s="9"/>
    </row>
    <row r="922" spans="1:50" ht="15.75" customHeight="1" x14ac:dyDescent="0.2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212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  <c r="AA922" s="212"/>
      <c r="AB922" s="9"/>
      <c r="AC922" s="9"/>
      <c r="AD922" s="9"/>
      <c r="AE922" s="9"/>
      <c r="AF922" s="9"/>
      <c r="AG922" s="9"/>
      <c r="AH922" s="9"/>
      <c r="AI922" s="9"/>
      <c r="AJ922" s="9"/>
      <c r="AK922" s="9"/>
      <c r="AL922" s="9"/>
      <c r="AM922" s="9"/>
      <c r="AN922" s="9"/>
      <c r="AO922" s="9"/>
      <c r="AP922" s="9"/>
      <c r="AQ922" s="9"/>
      <c r="AR922" s="9"/>
      <c r="AS922" s="9"/>
      <c r="AT922" s="9"/>
      <c r="AU922" s="9"/>
      <c r="AV922" s="9"/>
      <c r="AW922" s="9"/>
      <c r="AX922" s="9"/>
    </row>
    <row r="923" spans="1:50" ht="15.75" customHeight="1" x14ac:dyDescent="0.2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212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  <c r="AA923" s="212"/>
      <c r="AB923" s="9"/>
      <c r="AC923" s="9"/>
      <c r="AD923" s="9"/>
      <c r="AE923" s="9"/>
      <c r="AF923" s="9"/>
      <c r="AG923" s="9"/>
      <c r="AH923" s="9"/>
      <c r="AI923" s="9"/>
      <c r="AJ923" s="9"/>
      <c r="AK923" s="9"/>
      <c r="AL923" s="9"/>
      <c r="AM923" s="9"/>
      <c r="AN923" s="9"/>
      <c r="AO923" s="9"/>
      <c r="AP923" s="9"/>
      <c r="AQ923" s="9"/>
      <c r="AR923" s="9"/>
      <c r="AS923" s="9"/>
      <c r="AT923" s="9"/>
      <c r="AU923" s="9"/>
      <c r="AV923" s="9"/>
      <c r="AW923" s="9"/>
      <c r="AX923" s="9"/>
    </row>
    <row r="924" spans="1:50" ht="15.75" customHeight="1" x14ac:dyDescent="0.2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212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  <c r="AA924" s="212"/>
      <c r="AB924" s="9"/>
      <c r="AC924" s="9"/>
      <c r="AD924" s="9"/>
      <c r="AE924" s="9"/>
      <c r="AF924" s="9"/>
      <c r="AG924" s="9"/>
      <c r="AH924" s="9"/>
      <c r="AI924" s="9"/>
      <c r="AJ924" s="9"/>
      <c r="AK924" s="9"/>
      <c r="AL924" s="9"/>
      <c r="AM924" s="9"/>
      <c r="AN924" s="9"/>
      <c r="AO924" s="9"/>
      <c r="AP924" s="9"/>
      <c r="AQ924" s="9"/>
      <c r="AR924" s="9"/>
      <c r="AS924" s="9"/>
      <c r="AT924" s="9"/>
      <c r="AU924" s="9"/>
      <c r="AV924" s="9"/>
      <c r="AW924" s="9"/>
      <c r="AX924" s="9"/>
    </row>
    <row r="925" spans="1:50" ht="15.75" customHeight="1" x14ac:dyDescent="0.2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212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  <c r="AA925" s="212"/>
      <c r="AB925" s="9"/>
      <c r="AC925" s="9"/>
      <c r="AD925" s="9"/>
      <c r="AE925" s="9"/>
      <c r="AF925" s="9"/>
      <c r="AG925" s="9"/>
      <c r="AH925" s="9"/>
      <c r="AI925" s="9"/>
      <c r="AJ925" s="9"/>
      <c r="AK925" s="9"/>
      <c r="AL925" s="9"/>
      <c r="AM925" s="9"/>
      <c r="AN925" s="9"/>
      <c r="AO925" s="9"/>
      <c r="AP925" s="9"/>
      <c r="AQ925" s="9"/>
      <c r="AR925" s="9"/>
      <c r="AS925" s="9"/>
      <c r="AT925" s="9"/>
      <c r="AU925" s="9"/>
      <c r="AV925" s="9"/>
      <c r="AW925" s="9"/>
      <c r="AX925" s="9"/>
    </row>
    <row r="926" spans="1:50" ht="15.75" customHeight="1" x14ac:dyDescent="0.2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212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  <c r="AA926" s="212"/>
      <c r="AB926" s="9"/>
      <c r="AC926" s="9"/>
      <c r="AD926" s="9"/>
      <c r="AE926" s="9"/>
      <c r="AF926" s="9"/>
      <c r="AG926" s="9"/>
      <c r="AH926" s="9"/>
      <c r="AI926" s="9"/>
      <c r="AJ926" s="9"/>
      <c r="AK926" s="9"/>
      <c r="AL926" s="9"/>
      <c r="AM926" s="9"/>
      <c r="AN926" s="9"/>
      <c r="AO926" s="9"/>
      <c r="AP926" s="9"/>
      <c r="AQ926" s="9"/>
      <c r="AR926" s="9"/>
      <c r="AS926" s="9"/>
      <c r="AT926" s="9"/>
      <c r="AU926" s="9"/>
      <c r="AV926" s="9"/>
      <c r="AW926" s="9"/>
      <c r="AX926" s="9"/>
    </row>
    <row r="927" spans="1:50" ht="15.75" customHeight="1" x14ac:dyDescent="0.2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212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  <c r="AA927" s="212"/>
      <c r="AB927" s="9"/>
      <c r="AC927" s="9"/>
      <c r="AD927" s="9"/>
      <c r="AE927" s="9"/>
      <c r="AF927" s="9"/>
      <c r="AG927" s="9"/>
      <c r="AH927" s="9"/>
      <c r="AI927" s="9"/>
      <c r="AJ927" s="9"/>
      <c r="AK927" s="9"/>
      <c r="AL927" s="9"/>
      <c r="AM927" s="9"/>
      <c r="AN927" s="9"/>
      <c r="AO927" s="9"/>
      <c r="AP927" s="9"/>
      <c r="AQ927" s="9"/>
      <c r="AR927" s="9"/>
      <c r="AS927" s="9"/>
      <c r="AT927" s="9"/>
      <c r="AU927" s="9"/>
      <c r="AV927" s="9"/>
      <c r="AW927" s="9"/>
      <c r="AX927" s="9"/>
    </row>
    <row r="928" spans="1:50" ht="15.75" customHeight="1" x14ac:dyDescent="0.2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212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  <c r="AA928" s="212"/>
      <c r="AB928" s="9"/>
      <c r="AC928" s="9"/>
      <c r="AD928" s="9"/>
      <c r="AE928" s="9"/>
      <c r="AF928" s="9"/>
      <c r="AG928" s="9"/>
      <c r="AH928" s="9"/>
      <c r="AI928" s="9"/>
      <c r="AJ928" s="9"/>
      <c r="AK928" s="9"/>
      <c r="AL928" s="9"/>
      <c r="AM928" s="9"/>
      <c r="AN928" s="9"/>
      <c r="AO928" s="9"/>
      <c r="AP928" s="9"/>
      <c r="AQ928" s="9"/>
      <c r="AR928" s="9"/>
      <c r="AS928" s="9"/>
      <c r="AT928" s="9"/>
      <c r="AU928" s="9"/>
      <c r="AV928" s="9"/>
      <c r="AW928" s="9"/>
      <c r="AX928" s="9"/>
    </row>
    <row r="929" spans="1:50" ht="15.75" customHeight="1" x14ac:dyDescent="0.2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212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  <c r="AA929" s="212"/>
      <c r="AB929" s="9"/>
      <c r="AC929" s="9"/>
      <c r="AD929" s="9"/>
      <c r="AE929" s="9"/>
      <c r="AF929" s="9"/>
      <c r="AG929" s="9"/>
      <c r="AH929" s="9"/>
      <c r="AI929" s="9"/>
      <c r="AJ929" s="9"/>
      <c r="AK929" s="9"/>
      <c r="AL929" s="9"/>
      <c r="AM929" s="9"/>
      <c r="AN929" s="9"/>
      <c r="AO929" s="9"/>
      <c r="AP929" s="9"/>
      <c r="AQ929" s="9"/>
      <c r="AR929" s="9"/>
      <c r="AS929" s="9"/>
      <c r="AT929" s="9"/>
      <c r="AU929" s="9"/>
      <c r="AV929" s="9"/>
      <c r="AW929" s="9"/>
      <c r="AX929" s="9"/>
    </row>
    <row r="930" spans="1:50" ht="15.75" customHeight="1" x14ac:dyDescent="0.2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212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  <c r="AA930" s="212"/>
      <c r="AB930" s="9"/>
      <c r="AC930" s="9"/>
      <c r="AD930" s="9"/>
      <c r="AE930" s="9"/>
      <c r="AF930" s="9"/>
      <c r="AG930" s="9"/>
      <c r="AH930" s="9"/>
      <c r="AI930" s="9"/>
      <c r="AJ930" s="9"/>
      <c r="AK930" s="9"/>
      <c r="AL930" s="9"/>
      <c r="AM930" s="9"/>
      <c r="AN930" s="9"/>
      <c r="AO930" s="9"/>
      <c r="AP930" s="9"/>
      <c r="AQ930" s="9"/>
      <c r="AR930" s="9"/>
      <c r="AS930" s="9"/>
      <c r="AT930" s="9"/>
      <c r="AU930" s="9"/>
      <c r="AV930" s="9"/>
      <c r="AW930" s="9"/>
      <c r="AX930" s="9"/>
    </row>
    <row r="931" spans="1:50" ht="15.75" customHeight="1" x14ac:dyDescent="0.2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212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  <c r="AA931" s="212"/>
      <c r="AB931" s="9"/>
      <c r="AC931" s="9"/>
      <c r="AD931" s="9"/>
      <c r="AE931" s="9"/>
      <c r="AF931" s="9"/>
      <c r="AG931" s="9"/>
      <c r="AH931" s="9"/>
      <c r="AI931" s="9"/>
      <c r="AJ931" s="9"/>
      <c r="AK931" s="9"/>
      <c r="AL931" s="9"/>
      <c r="AM931" s="9"/>
      <c r="AN931" s="9"/>
      <c r="AO931" s="9"/>
      <c r="AP931" s="9"/>
      <c r="AQ931" s="9"/>
      <c r="AR931" s="9"/>
      <c r="AS931" s="9"/>
      <c r="AT931" s="9"/>
      <c r="AU931" s="9"/>
      <c r="AV931" s="9"/>
      <c r="AW931" s="9"/>
      <c r="AX931" s="9"/>
    </row>
    <row r="932" spans="1:50" ht="15.75" customHeight="1" x14ac:dyDescent="0.2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212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  <c r="AA932" s="212"/>
      <c r="AB932" s="9"/>
      <c r="AC932" s="9"/>
      <c r="AD932" s="9"/>
      <c r="AE932" s="9"/>
      <c r="AF932" s="9"/>
      <c r="AG932" s="9"/>
      <c r="AH932" s="9"/>
      <c r="AI932" s="9"/>
      <c r="AJ932" s="9"/>
      <c r="AK932" s="9"/>
      <c r="AL932" s="9"/>
      <c r="AM932" s="9"/>
      <c r="AN932" s="9"/>
      <c r="AO932" s="9"/>
      <c r="AP932" s="9"/>
      <c r="AQ932" s="9"/>
      <c r="AR932" s="9"/>
      <c r="AS932" s="9"/>
      <c r="AT932" s="9"/>
      <c r="AU932" s="9"/>
      <c r="AV932" s="9"/>
      <c r="AW932" s="9"/>
      <c r="AX932" s="9"/>
    </row>
    <row r="933" spans="1:50" ht="15.75" customHeight="1" x14ac:dyDescent="0.2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212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  <c r="AA933" s="212"/>
      <c r="AB933" s="9"/>
      <c r="AC933" s="9"/>
      <c r="AD933" s="9"/>
      <c r="AE933" s="9"/>
      <c r="AF933" s="9"/>
      <c r="AG933" s="9"/>
      <c r="AH933" s="9"/>
      <c r="AI933" s="9"/>
      <c r="AJ933" s="9"/>
      <c r="AK933" s="9"/>
      <c r="AL933" s="9"/>
      <c r="AM933" s="9"/>
      <c r="AN933" s="9"/>
      <c r="AO933" s="9"/>
      <c r="AP933" s="9"/>
      <c r="AQ933" s="9"/>
      <c r="AR933" s="9"/>
      <c r="AS933" s="9"/>
      <c r="AT933" s="9"/>
      <c r="AU933" s="9"/>
      <c r="AV933" s="9"/>
      <c r="AW933" s="9"/>
      <c r="AX933" s="9"/>
    </row>
    <row r="934" spans="1:50" ht="15.75" customHeight="1" x14ac:dyDescent="0.2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212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  <c r="AA934" s="212"/>
      <c r="AB934" s="9"/>
      <c r="AC934" s="9"/>
      <c r="AD934" s="9"/>
      <c r="AE934" s="9"/>
      <c r="AF934" s="9"/>
      <c r="AG934" s="9"/>
      <c r="AH934" s="9"/>
      <c r="AI934" s="9"/>
      <c r="AJ934" s="9"/>
      <c r="AK934" s="9"/>
      <c r="AL934" s="9"/>
      <c r="AM934" s="9"/>
      <c r="AN934" s="9"/>
      <c r="AO934" s="9"/>
      <c r="AP934" s="9"/>
      <c r="AQ934" s="9"/>
      <c r="AR934" s="9"/>
      <c r="AS934" s="9"/>
      <c r="AT934" s="9"/>
      <c r="AU934" s="9"/>
      <c r="AV934" s="9"/>
      <c r="AW934" s="9"/>
      <c r="AX934" s="9"/>
    </row>
    <row r="935" spans="1:50" ht="15.75" customHeight="1" x14ac:dyDescent="0.2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212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  <c r="AA935" s="212"/>
      <c r="AB935" s="9"/>
      <c r="AC935" s="9"/>
      <c r="AD935" s="9"/>
      <c r="AE935" s="9"/>
      <c r="AF935" s="9"/>
      <c r="AG935" s="9"/>
      <c r="AH935" s="9"/>
      <c r="AI935" s="9"/>
      <c r="AJ935" s="9"/>
      <c r="AK935" s="9"/>
      <c r="AL935" s="9"/>
      <c r="AM935" s="9"/>
      <c r="AN935" s="9"/>
      <c r="AO935" s="9"/>
      <c r="AP935" s="9"/>
      <c r="AQ935" s="9"/>
      <c r="AR935" s="9"/>
      <c r="AS935" s="9"/>
      <c r="AT935" s="9"/>
      <c r="AU935" s="9"/>
      <c r="AV935" s="9"/>
      <c r="AW935" s="9"/>
      <c r="AX935" s="9"/>
    </row>
    <row r="936" spans="1:50" ht="15.75" customHeight="1" x14ac:dyDescent="0.2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212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  <c r="AA936" s="212"/>
      <c r="AB936" s="9"/>
      <c r="AC936" s="9"/>
      <c r="AD936" s="9"/>
      <c r="AE936" s="9"/>
      <c r="AF936" s="9"/>
      <c r="AG936" s="9"/>
      <c r="AH936" s="9"/>
      <c r="AI936" s="9"/>
      <c r="AJ936" s="9"/>
      <c r="AK936" s="9"/>
      <c r="AL936" s="9"/>
      <c r="AM936" s="9"/>
      <c r="AN936" s="9"/>
      <c r="AO936" s="9"/>
      <c r="AP936" s="9"/>
      <c r="AQ936" s="9"/>
      <c r="AR936" s="9"/>
      <c r="AS936" s="9"/>
      <c r="AT936" s="9"/>
      <c r="AU936" s="9"/>
      <c r="AV936" s="9"/>
      <c r="AW936" s="9"/>
      <c r="AX936" s="9"/>
    </row>
    <row r="937" spans="1:50" ht="15.75" customHeight="1" x14ac:dyDescent="0.2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212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  <c r="AA937" s="212"/>
      <c r="AB937" s="9"/>
      <c r="AC937" s="9"/>
      <c r="AD937" s="9"/>
      <c r="AE937" s="9"/>
      <c r="AF937" s="9"/>
      <c r="AG937" s="9"/>
      <c r="AH937" s="9"/>
      <c r="AI937" s="9"/>
      <c r="AJ937" s="9"/>
      <c r="AK937" s="9"/>
      <c r="AL937" s="9"/>
      <c r="AM937" s="9"/>
      <c r="AN937" s="9"/>
      <c r="AO937" s="9"/>
      <c r="AP937" s="9"/>
      <c r="AQ937" s="9"/>
      <c r="AR937" s="9"/>
      <c r="AS937" s="9"/>
      <c r="AT937" s="9"/>
      <c r="AU937" s="9"/>
      <c r="AV937" s="9"/>
      <c r="AW937" s="9"/>
      <c r="AX937" s="9"/>
    </row>
    <row r="938" spans="1:50" ht="15.75" customHeight="1" x14ac:dyDescent="0.2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212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  <c r="AA938" s="212"/>
      <c r="AB938" s="9"/>
      <c r="AC938" s="9"/>
      <c r="AD938" s="9"/>
      <c r="AE938" s="9"/>
      <c r="AF938" s="9"/>
      <c r="AG938" s="9"/>
      <c r="AH938" s="9"/>
      <c r="AI938" s="9"/>
      <c r="AJ938" s="9"/>
      <c r="AK938" s="9"/>
      <c r="AL938" s="9"/>
      <c r="AM938" s="9"/>
      <c r="AN938" s="9"/>
      <c r="AO938" s="9"/>
      <c r="AP938" s="9"/>
      <c r="AQ938" s="9"/>
      <c r="AR938" s="9"/>
      <c r="AS938" s="9"/>
      <c r="AT938" s="9"/>
      <c r="AU938" s="9"/>
      <c r="AV938" s="9"/>
      <c r="AW938" s="9"/>
      <c r="AX938" s="9"/>
    </row>
    <row r="939" spans="1:50" ht="15.75" customHeight="1" x14ac:dyDescent="0.2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212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  <c r="AA939" s="212"/>
      <c r="AB939" s="9"/>
      <c r="AC939" s="9"/>
      <c r="AD939" s="9"/>
      <c r="AE939" s="9"/>
      <c r="AF939" s="9"/>
      <c r="AG939" s="9"/>
      <c r="AH939" s="9"/>
      <c r="AI939" s="9"/>
      <c r="AJ939" s="9"/>
      <c r="AK939" s="9"/>
      <c r="AL939" s="9"/>
      <c r="AM939" s="9"/>
      <c r="AN939" s="9"/>
      <c r="AO939" s="9"/>
      <c r="AP939" s="9"/>
      <c r="AQ939" s="9"/>
      <c r="AR939" s="9"/>
      <c r="AS939" s="9"/>
      <c r="AT939" s="9"/>
      <c r="AU939" s="9"/>
      <c r="AV939" s="9"/>
      <c r="AW939" s="9"/>
      <c r="AX939" s="9"/>
    </row>
    <row r="940" spans="1:50" ht="15.75" customHeight="1" x14ac:dyDescent="0.2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212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  <c r="AA940" s="212"/>
      <c r="AB940" s="9"/>
      <c r="AC940" s="9"/>
      <c r="AD940" s="9"/>
      <c r="AE940" s="9"/>
      <c r="AF940" s="9"/>
      <c r="AG940" s="9"/>
      <c r="AH940" s="9"/>
      <c r="AI940" s="9"/>
      <c r="AJ940" s="9"/>
      <c r="AK940" s="9"/>
      <c r="AL940" s="9"/>
      <c r="AM940" s="9"/>
      <c r="AN940" s="9"/>
      <c r="AO940" s="9"/>
      <c r="AP940" s="9"/>
      <c r="AQ940" s="9"/>
      <c r="AR940" s="9"/>
      <c r="AS940" s="9"/>
      <c r="AT940" s="9"/>
      <c r="AU940" s="9"/>
      <c r="AV940" s="9"/>
      <c r="AW940" s="9"/>
      <c r="AX940" s="9"/>
    </row>
    <row r="941" spans="1:50" ht="15.75" customHeight="1" x14ac:dyDescent="0.2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212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  <c r="AA941" s="212"/>
      <c r="AB941" s="9"/>
      <c r="AC941" s="9"/>
      <c r="AD941" s="9"/>
      <c r="AE941" s="9"/>
      <c r="AF941" s="9"/>
      <c r="AG941" s="9"/>
      <c r="AH941" s="9"/>
      <c r="AI941" s="9"/>
      <c r="AJ941" s="9"/>
      <c r="AK941" s="9"/>
      <c r="AL941" s="9"/>
      <c r="AM941" s="9"/>
      <c r="AN941" s="9"/>
      <c r="AO941" s="9"/>
      <c r="AP941" s="9"/>
      <c r="AQ941" s="9"/>
      <c r="AR941" s="9"/>
      <c r="AS941" s="9"/>
      <c r="AT941" s="9"/>
      <c r="AU941" s="9"/>
      <c r="AV941" s="9"/>
      <c r="AW941" s="9"/>
      <c r="AX941" s="9"/>
    </row>
    <row r="942" spans="1:50" ht="15.75" customHeight="1" x14ac:dyDescent="0.2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212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  <c r="AA942" s="212"/>
      <c r="AB942" s="9"/>
      <c r="AC942" s="9"/>
      <c r="AD942" s="9"/>
      <c r="AE942" s="9"/>
      <c r="AF942" s="9"/>
      <c r="AG942" s="9"/>
      <c r="AH942" s="9"/>
      <c r="AI942" s="9"/>
      <c r="AJ942" s="9"/>
      <c r="AK942" s="9"/>
      <c r="AL942" s="9"/>
      <c r="AM942" s="9"/>
      <c r="AN942" s="9"/>
      <c r="AO942" s="9"/>
      <c r="AP942" s="9"/>
      <c r="AQ942" s="9"/>
      <c r="AR942" s="9"/>
      <c r="AS942" s="9"/>
      <c r="AT942" s="9"/>
      <c r="AU942" s="9"/>
      <c r="AV942" s="9"/>
      <c r="AW942" s="9"/>
      <c r="AX942" s="9"/>
    </row>
    <row r="943" spans="1:50" ht="15.75" customHeight="1" x14ac:dyDescent="0.2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212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  <c r="AA943" s="212"/>
      <c r="AB943" s="9"/>
      <c r="AC943" s="9"/>
      <c r="AD943" s="9"/>
      <c r="AE943" s="9"/>
      <c r="AF943" s="9"/>
      <c r="AG943" s="9"/>
      <c r="AH943" s="9"/>
      <c r="AI943" s="9"/>
      <c r="AJ943" s="9"/>
      <c r="AK943" s="9"/>
      <c r="AL943" s="9"/>
      <c r="AM943" s="9"/>
      <c r="AN943" s="9"/>
      <c r="AO943" s="9"/>
      <c r="AP943" s="9"/>
      <c r="AQ943" s="9"/>
      <c r="AR943" s="9"/>
      <c r="AS943" s="9"/>
      <c r="AT943" s="9"/>
      <c r="AU943" s="9"/>
      <c r="AV943" s="9"/>
      <c r="AW943" s="9"/>
      <c r="AX943" s="9"/>
    </row>
    <row r="944" spans="1:50" ht="15.75" customHeight="1" x14ac:dyDescent="0.2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212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  <c r="AA944" s="212"/>
      <c r="AB944" s="9"/>
      <c r="AC944" s="9"/>
      <c r="AD944" s="9"/>
      <c r="AE944" s="9"/>
      <c r="AF944" s="9"/>
      <c r="AG944" s="9"/>
      <c r="AH944" s="9"/>
      <c r="AI944" s="9"/>
      <c r="AJ944" s="9"/>
      <c r="AK944" s="9"/>
      <c r="AL944" s="9"/>
      <c r="AM944" s="9"/>
      <c r="AN944" s="9"/>
      <c r="AO944" s="9"/>
      <c r="AP944" s="9"/>
      <c r="AQ944" s="9"/>
      <c r="AR944" s="9"/>
      <c r="AS944" s="9"/>
      <c r="AT944" s="9"/>
      <c r="AU944" s="9"/>
      <c r="AV944" s="9"/>
      <c r="AW944" s="9"/>
      <c r="AX944" s="9"/>
    </row>
    <row r="945" spans="1:50" ht="15.75" customHeight="1" x14ac:dyDescent="0.2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212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  <c r="AA945" s="212"/>
      <c r="AB945" s="9"/>
      <c r="AC945" s="9"/>
      <c r="AD945" s="9"/>
      <c r="AE945" s="9"/>
      <c r="AF945" s="9"/>
      <c r="AG945" s="9"/>
      <c r="AH945" s="9"/>
      <c r="AI945" s="9"/>
      <c r="AJ945" s="9"/>
      <c r="AK945" s="9"/>
      <c r="AL945" s="9"/>
      <c r="AM945" s="9"/>
      <c r="AN945" s="9"/>
      <c r="AO945" s="9"/>
      <c r="AP945" s="9"/>
      <c r="AQ945" s="9"/>
      <c r="AR945" s="9"/>
      <c r="AS945" s="9"/>
      <c r="AT945" s="9"/>
      <c r="AU945" s="9"/>
      <c r="AV945" s="9"/>
      <c r="AW945" s="9"/>
      <c r="AX945" s="9"/>
    </row>
    <row r="946" spans="1:50" ht="15.75" customHeight="1" x14ac:dyDescent="0.2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212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  <c r="AA946" s="212"/>
      <c r="AB946" s="9"/>
      <c r="AC946" s="9"/>
      <c r="AD946" s="9"/>
      <c r="AE946" s="9"/>
      <c r="AF946" s="9"/>
      <c r="AG946" s="9"/>
      <c r="AH946" s="9"/>
      <c r="AI946" s="9"/>
      <c r="AJ946" s="9"/>
      <c r="AK946" s="9"/>
      <c r="AL946" s="9"/>
      <c r="AM946" s="9"/>
      <c r="AN946" s="9"/>
      <c r="AO946" s="9"/>
      <c r="AP946" s="9"/>
      <c r="AQ946" s="9"/>
      <c r="AR946" s="9"/>
      <c r="AS946" s="9"/>
      <c r="AT946" s="9"/>
      <c r="AU946" s="9"/>
      <c r="AV946" s="9"/>
      <c r="AW946" s="9"/>
      <c r="AX946" s="9"/>
    </row>
    <row r="947" spans="1:50" ht="15.75" customHeight="1" x14ac:dyDescent="0.2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212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  <c r="AA947" s="212"/>
      <c r="AB947" s="9"/>
      <c r="AC947" s="9"/>
      <c r="AD947" s="9"/>
      <c r="AE947" s="9"/>
      <c r="AF947" s="9"/>
      <c r="AG947" s="9"/>
      <c r="AH947" s="9"/>
      <c r="AI947" s="9"/>
      <c r="AJ947" s="9"/>
      <c r="AK947" s="9"/>
      <c r="AL947" s="9"/>
      <c r="AM947" s="9"/>
      <c r="AN947" s="9"/>
      <c r="AO947" s="9"/>
      <c r="AP947" s="9"/>
      <c r="AQ947" s="9"/>
      <c r="AR947" s="9"/>
      <c r="AS947" s="9"/>
      <c r="AT947" s="9"/>
      <c r="AU947" s="9"/>
      <c r="AV947" s="9"/>
      <c r="AW947" s="9"/>
      <c r="AX947" s="9"/>
    </row>
    <row r="948" spans="1:50" ht="15.75" customHeight="1" x14ac:dyDescent="0.2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212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  <c r="AA948" s="212"/>
      <c r="AB948" s="9"/>
      <c r="AC948" s="9"/>
      <c r="AD948" s="9"/>
      <c r="AE948" s="9"/>
      <c r="AF948" s="9"/>
      <c r="AG948" s="9"/>
      <c r="AH948" s="9"/>
      <c r="AI948" s="9"/>
      <c r="AJ948" s="9"/>
      <c r="AK948" s="9"/>
      <c r="AL948" s="9"/>
      <c r="AM948" s="9"/>
      <c r="AN948" s="9"/>
      <c r="AO948" s="9"/>
      <c r="AP948" s="9"/>
      <c r="AQ948" s="9"/>
      <c r="AR948" s="9"/>
      <c r="AS948" s="9"/>
      <c r="AT948" s="9"/>
      <c r="AU948" s="9"/>
      <c r="AV948" s="9"/>
      <c r="AW948" s="9"/>
      <c r="AX948" s="9"/>
    </row>
    <row r="949" spans="1:50" ht="15.75" customHeight="1" x14ac:dyDescent="0.2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212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  <c r="AA949" s="212"/>
      <c r="AB949" s="9"/>
      <c r="AC949" s="9"/>
      <c r="AD949" s="9"/>
      <c r="AE949" s="9"/>
      <c r="AF949" s="9"/>
      <c r="AG949" s="9"/>
      <c r="AH949" s="9"/>
      <c r="AI949" s="9"/>
      <c r="AJ949" s="9"/>
      <c r="AK949" s="9"/>
      <c r="AL949" s="9"/>
      <c r="AM949" s="9"/>
      <c r="AN949" s="9"/>
      <c r="AO949" s="9"/>
      <c r="AP949" s="9"/>
      <c r="AQ949" s="9"/>
      <c r="AR949" s="9"/>
      <c r="AS949" s="9"/>
      <c r="AT949" s="9"/>
      <c r="AU949" s="9"/>
      <c r="AV949" s="9"/>
      <c r="AW949" s="9"/>
      <c r="AX949" s="9"/>
    </row>
    <row r="950" spans="1:50" ht="15.75" customHeight="1" x14ac:dyDescent="0.2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212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  <c r="AA950" s="212"/>
      <c r="AB950" s="9"/>
      <c r="AC950" s="9"/>
      <c r="AD950" s="9"/>
      <c r="AE950" s="9"/>
      <c r="AF950" s="9"/>
      <c r="AG950" s="9"/>
      <c r="AH950" s="9"/>
      <c r="AI950" s="9"/>
      <c r="AJ950" s="9"/>
      <c r="AK950" s="9"/>
      <c r="AL950" s="9"/>
      <c r="AM950" s="9"/>
      <c r="AN950" s="9"/>
      <c r="AO950" s="9"/>
      <c r="AP950" s="9"/>
      <c r="AQ950" s="9"/>
      <c r="AR950" s="9"/>
      <c r="AS950" s="9"/>
      <c r="AT950" s="9"/>
      <c r="AU950" s="9"/>
      <c r="AV950" s="9"/>
      <c r="AW950" s="9"/>
      <c r="AX950" s="9"/>
    </row>
    <row r="951" spans="1:50" ht="15.75" customHeight="1" x14ac:dyDescent="0.2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212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  <c r="AA951" s="212"/>
      <c r="AB951" s="9"/>
      <c r="AC951" s="9"/>
      <c r="AD951" s="9"/>
      <c r="AE951" s="9"/>
      <c r="AF951" s="9"/>
      <c r="AG951" s="9"/>
      <c r="AH951" s="9"/>
      <c r="AI951" s="9"/>
      <c r="AJ951" s="9"/>
      <c r="AK951" s="9"/>
      <c r="AL951" s="9"/>
      <c r="AM951" s="9"/>
      <c r="AN951" s="9"/>
      <c r="AO951" s="9"/>
      <c r="AP951" s="9"/>
      <c r="AQ951" s="9"/>
      <c r="AR951" s="9"/>
      <c r="AS951" s="9"/>
      <c r="AT951" s="9"/>
      <c r="AU951" s="9"/>
      <c r="AV951" s="9"/>
      <c r="AW951" s="9"/>
      <c r="AX951" s="9"/>
    </row>
    <row r="952" spans="1:50" ht="15.75" customHeight="1" x14ac:dyDescent="0.2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212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  <c r="AA952" s="212"/>
      <c r="AB952" s="9"/>
      <c r="AC952" s="9"/>
      <c r="AD952" s="9"/>
      <c r="AE952" s="9"/>
      <c r="AF952" s="9"/>
      <c r="AG952" s="9"/>
      <c r="AH952" s="9"/>
      <c r="AI952" s="9"/>
      <c r="AJ952" s="9"/>
      <c r="AK952" s="9"/>
      <c r="AL952" s="9"/>
      <c r="AM952" s="9"/>
      <c r="AN952" s="9"/>
      <c r="AO952" s="9"/>
      <c r="AP952" s="9"/>
      <c r="AQ952" s="9"/>
      <c r="AR952" s="9"/>
      <c r="AS952" s="9"/>
      <c r="AT952" s="9"/>
      <c r="AU952" s="9"/>
      <c r="AV952" s="9"/>
      <c r="AW952" s="9"/>
      <c r="AX952" s="9"/>
    </row>
    <row r="953" spans="1:50" ht="15.75" customHeight="1" x14ac:dyDescent="0.2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212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  <c r="AA953" s="212"/>
      <c r="AB953" s="9"/>
      <c r="AC953" s="9"/>
      <c r="AD953" s="9"/>
      <c r="AE953" s="9"/>
      <c r="AF953" s="9"/>
      <c r="AG953" s="9"/>
      <c r="AH953" s="9"/>
      <c r="AI953" s="9"/>
      <c r="AJ953" s="9"/>
      <c r="AK953" s="9"/>
      <c r="AL953" s="9"/>
      <c r="AM953" s="9"/>
      <c r="AN953" s="9"/>
      <c r="AO953" s="9"/>
      <c r="AP953" s="9"/>
      <c r="AQ953" s="9"/>
      <c r="AR953" s="9"/>
      <c r="AS953" s="9"/>
      <c r="AT953" s="9"/>
      <c r="AU953" s="9"/>
      <c r="AV953" s="9"/>
      <c r="AW953" s="9"/>
      <c r="AX953" s="9"/>
    </row>
    <row r="954" spans="1:50" ht="15.75" customHeight="1" x14ac:dyDescent="0.2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212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  <c r="AA954" s="212"/>
      <c r="AB954" s="9"/>
      <c r="AC954" s="9"/>
      <c r="AD954" s="9"/>
      <c r="AE954" s="9"/>
      <c r="AF954" s="9"/>
      <c r="AG954" s="9"/>
      <c r="AH954" s="9"/>
      <c r="AI954" s="9"/>
      <c r="AJ954" s="9"/>
      <c r="AK954" s="9"/>
      <c r="AL954" s="9"/>
      <c r="AM954" s="9"/>
      <c r="AN954" s="9"/>
      <c r="AO954" s="9"/>
      <c r="AP954" s="9"/>
      <c r="AQ954" s="9"/>
      <c r="AR954" s="9"/>
      <c r="AS954" s="9"/>
      <c r="AT954" s="9"/>
      <c r="AU954" s="9"/>
      <c r="AV954" s="9"/>
      <c r="AW954" s="9"/>
      <c r="AX954" s="9"/>
    </row>
    <row r="955" spans="1:50" ht="15.75" customHeight="1" x14ac:dyDescent="0.2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212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  <c r="AA955" s="212"/>
      <c r="AB955" s="9"/>
      <c r="AC955" s="9"/>
      <c r="AD955" s="9"/>
      <c r="AE955" s="9"/>
      <c r="AF955" s="9"/>
      <c r="AG955" s="9"/>
      <c r="AH955" s="9"/>
      <c r="AI955" s="9"/>
      <c r="AJ955" s="9"/>
      <c r="AK955" s="9"/>
      <c r="AL955" s="9"/>
      <c r="AM955" s="9"/>
      <c r="AN955" s="9"/>
      <c r="AO955" s="9"/>
      <c r="AP955" s="9"/>
      <c r="AQ955" s="9"/>
      <c r="AR955" s="9"/>
      <c r="AS955" s="9"/>
      <c r="AT955" s="9"/>
      <c r="AU955" s="9"/>
      <c r="AV955" s="9"/>
      <c r="AW955" s="9"/>
      <c r="AX955" s="9"/>
    </row>
    <row r="956" spans="1:50" ht="15.75" customHeight="1" x14ac:dyDescent="0.2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212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  <c r="AA956" s="212"/>
      <c r="AB956" s="9"/>
      <c r="AC956" s="9"/>
      <c r="AD956" s="9"/>
      <c r="AE956" s="9"/>
      <c r="AF956" s="9"/>
      <c r="AG956" s="9"/>
      <c r="AH956" s="9"/>
      <c r="AI956" s="9"/>
      <c r="AJ956" s="9"/>
      <c r="AK956" s="9"/>
      <c r="AL956" s="9"/>
      <c r="AM956" s="9"/>
      <c r="AN956" s="9"/>
      <c r="AO956" s="9"/>
      <c r="AP956" s="9"/>
      <c r="AQ956" s="9"/>
      <c r="AR956" s="9"/>
      <c r="AS956" s="9"/>
      <c r="AT956" s="9"/>
      <c r="AU956" s="9"/>
      <c r="AV956" s="9"/>
      <c r="AW956" s="9"/>
      <c r="AX956" s="9"/>
    </row>
    <row r="957" spans="1:50" ht="15.75" customHeight="1" x14ac:dyDescent="0.2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212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  <c r="AA957" s="212"/>
      <c r="AB957" s="9"/>
      <c r="AC957" s="9"/>
      <c r="AD957" s="9"/>
      <c r="AE957" s="9"/>
      <c r="AF957" s="9"/>
      <c r="AG957" s="9"/>
      <c r="AH957" s="9"/>
      <c r="AI957" s="9"/>
      <c r="AJ957" s="9"/>
      <c r="AK957" s="9"/>
      <c r="AL957" s="9"/>
      <c r="AM957" s="9"/>
      <c r="AN957" s="9"/>
      <c r="AO957" s="9"/>
      <c r="AP957" s="9"/>
      <c r="AQ957" s="9"/>
      <c r="AR957" s="9"/>
      <c r="AS957" s="9"/>
      <c r="AT957" s="9"/>
      <c r="AU957" s="9"/>
      <c r="AV957" s="9"/>
      <c r="AW957" s="9"/>
      <c r="AX957" s="9"/>
    </row>
    <row r="958" spans="1:50" ht="15.75" customHeight="1" x14ac:dyDescent="0.2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212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  <c r="AA958" s="212"/>
      <c r="AB958" s="9"/>
      <c r="AC958" s="9"/>
      <c r="AD958" s="9"/>
      <c r="AE958" s="9"/>
      <c r="AF958" s="9"/>
      <c r="AG958" s="9"/>
      <c r="AH958" s="9"/>
      <c r="AI958" s="9"/>
      <c r="AJ958" s="9"/>
      <c r="AK958" s="9"/>
      <c r="AL958" s="9"/>
      <c r="AM958" s="9"/>
      <c r="AN958" s="9"/>
      <c r="AO958" s="9"/>
      <c r="AP958" s="9"/>
      <c r="AQ958" s="9"/>
      <c r="AR958" s="9"/>
      <c r="AS958" s="9"/>
      <c r="AT958" s="9"/>
      <c r="AU958" s="9"/>
      <c r="AV958" s="9"/>
      <c r="AW958" s="9"/>
      <c r="AX958" s="9"/>
    </row>
    <row r="959" spans="1:50" ht="15.75" customHeight="1" x14ac:dyDescent="0.2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212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  <c r="AA959" s="212"/>
      <c r="AB959" s="9"/>
      <c r="AC959" s="9"/>
      <c r="AD959" s="9"/>
      <c r="AE959" s="9"/>
      <c r="AF959" s="9"/>
      <c r="AG959" s="9"/>
      <c r="AH959" s="9"/>
      <c r="AI959" s="9"/>
      <c r="AJ959" s="9"/>
      <c r="AK959" s="9"/>
      <c r="AL959" s="9"/>
      <c r="AM959" s="9"/>
      <c r="AN959" s="9"/>
      <c r="AO959" s="9"/>
      <c r="AP959" s="9"/>
      <c r="AQ959" s="9"/>
      <c r="AR959" s="9"/>
      <c r="AS959" s="9"/>
      <c r="AT959" s="9"/>
      <c r="AU959" s="9"/>
      <c r="AV959" s="9"/>
      <c r="AW959" s="9"/>
      <c r="AX959" s="9"/>
    </row>
    <row r="960" spans="1:50" ht="15.75" customHeight="1" x14ac:dyDescent="0.2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212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  <c r="AA960" s="212"/>
      <c r="AB960" s="9"/>
      <c r="AC960" s="9"/>
      <c r="AD960" s="9"/>
      <c r="AE960" s="9"/>
      <c r="AF960" s="9"/>
      <c r="AG960" s="9"/>
      <c r="AH960" s="9"/>
      <c r="AI960" s="9"/>
      <c r="AJ960" s="9"/>
      <c r="AK960" s="9"/>
      <c r="AL960" s="9"/>
      <c r="AM960" s="9"/>
      <c r="AN960" s="9"/>
      <c r="AO960" s="9"/>
      <c r="AP960" s="9"/>
      <c r="AQ960" s="9"/>
      <c r="AR960" s="9"/>
      <c r="AS960" s="9"/>
      <c r="AT960" s="9"/>
      <c r="AU960" s="9"/>
      <c r="AV960" s="9"/>
      <c r="AW960" s="9"/>
      <c r="AX960" s="9"/>
    </row>
    <row r="961" spans="1:50" ht="15.75" customHeight="1" x14ac:dyDescent="0.2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212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  <c r="AA961" s="212"/>
      <c r="AB961" s="9"/>
      <c r="AC961" s="9"/>
      <c r="AD961" s="9"/>
      <c r="AE961" s="9"/>
      <c r="AF961" s="9"/>
      <c r="AG961" s="9"/>
      <c r="AH961" s="9"/>
      <c r="AI961" s="9"/>
      <c r="AJ961" s="9"/>
      <c r="AK961" s="9"/>
      <c r="AL961" s="9"/>
      <c r="AM961" s="9"/>
      <c r="AN961" s="9"/>
      <c r="AO961" s="9"/>
      <c r="AP961" s="9"/>
      <c r="AQ961" s="9"/>
      <c r="AR961" s="9"/>
      <c r="AS961" s="9"/>
      <c r="AT961" s="9"/>
      <c r="AU961" s="9"/>
      <c r="AV961" s="9"/>
      <c r="AW961" s="9"/>
      <c r="AX961" s="9"/>
    </row>
    <row r="962" spans="1:50" ht="15.75" customHeight="1" x14ac:dyDescent="0.2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212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  <c r="AA962" s="212"/>
      <c r="AB962" s="9"/>
      <c r="AC962" s="9"/>
      <c r="AD962" s="9"/>
      <c r="AE962" s="9"/>
      <c r="AF962" s="9"/>
      <c r="AG962" s="9"/>
      <c r="AH962" s="9"/>
      <c r="AI962" s="9"/>
      <c r="AJ962" s="9"/>
      <c r="AK962" s="9"/>
      <c r="AL962" s="9"/>
      <c r="AM962" s="9"/>
      <c r="AN962" s="9"/>
      <c r="AO962" s="9"/>
      <c r="AP962" s="9"/>
      <c r="AQ962" s="9"/>
      <c r="AR962" s="9"/>
      <c r="AS962" s="9"/>
      <c r="AT962" s="9"/>
      <c r="AU962" s="9"/>
      <c r="AV962" s="9"/>
      <c r="AW962" s="9"/>
      <c r="AX962" s="9"/>
    </row>
    <row r="963" spans="1:50" ht="15.75" customHeight="1" x14ac:dyDescent="0.2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212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  <c r="AA963" s="212"/>
      <c r="AB963" s="9"/>
      <c r="AC963" s="9"/>
      <c r="AD963" s="9"/>
      <c r="AE963" s="9"/>
      <c r="AF963" s="9"/>
      <c r="AG963" s="9"/>
      <c r="AH963" s="9"/>
      <c r="AI963" s="9"/>
      <c r="AJ963" s="9"/>
      <c r="AK963" s="9"/>
      <c r="AL963" s="9"/>
      <c r="AM963" s="9"/>
      <c r="AN963" s="9"/>
      <c r="AO963" s="9"/>
      <c r="AP963" s="9"/>
      <c r="AQ963" s="9"/>
      <c r="AR963" s="9"/>
      <c r="AS963" s="9"/>
      <c r="AT963" s="9"/>
      <c r="AU963" s="9"/>
      <c r="AV963" s="9"/>
      <c r="AW963" s="9"/>
      <c r="AX963" s="9"/>
    </row>
    <row r="964" spans="1:50" ht="15.75" customHeight="1" x14ac:dyDescent="0.2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212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  <c r="AA964" s="212"/>
      <c r="AB964" s="9"/>
      <c r="AC964" s="9"/>
      <c r="AD964" s="9"/>
      <c r="AE964" s="9"/>
      <c r="AF964" s="9"/>
      <c r="AG964" s="9"/>
      <c r="AH964" s="9"/>
      <c r="AI964" s="9"/>
      <c r="AJ964" s="9"/>
      <c r="AK964" s="9"/>
      <c r="AL964" s="9"/>
      <c r="AM964" s="9"/>
      <c r="AN964" s="9"/>
      <c r="AO964" s="9"/>
      <c r="AP964" s="9"/>
      <c r="AQ964" s="9"/>
      <c r="AR964" s="9"/>
      <c r="AS964" s="9"/>
      <c r="AT964" s="9"/>
      <c r="AU964" s="9"/>
      <c r="AV964" s="9"/>
      <c r="AW964" s="9"/>
      <c r="AX964" s="9"/>
    </row>
    <row r="965" spans="1:50" ht="15.75" customHeight="1" x14ac:dyDescent="0.2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212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  <c r="AA965" s="212"/>
      <c r="AB965" s="9"/>
      <c r="AC965" s="9"/>
      <c r="AD965" s="9"/>
      <c r="AE965" s="9"/>
      <c r="AF965" s="9"/>
      <c r="AG965" s="9"/>
      <c r="AH965" s="9"/>
      <c r="AI965" s="9"/>
      <c r="AJ965" s="9"/>
      <c r="AK965" s="9"/>
      <c r="AL965" s="9"/>
      <c r="AM965" s="9"/>
      <c r="AN965" s="9"/>
      <c r="AO965" s="9"/>
      <c r="AP965" s="9"/>
      <c r="AQ965" s="9"/>
      <c r="AR965" s="9"/>
      <c r="AS965" s="9"/>
      <c r="AT965" s="9"/>
      <c r="AU965" s="9"/>
      <c r="AV965" s="9"/>
      <c r="AW965" s="9"/>
      <c r="AX965" s="9"/>
    </row>
    <row r="966" spans="1:50" ht="15.75" customHeight="1" x14ac:dyDescent="0.2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212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  <c r="AA966" s="212"/>
      <c r="AB966" s="9"/>
      <c r="AC966" s="9"/>
      <c r="AD966" s="9"/>
      <c r="AE966" s="9"/>
      <c r="AF966" s="9"/>
      <c r="AG966" s="9"/>
      <c r="AH966" s="9"/>
      <c r="AI966" s="9"/>
      <c r="AJ966" s="9"/>
      <c r="AK966" s="9"/>
      <c r="AL966" s="9"/>
      <c r="AM966" s="9"/>
      <c r="AN966" s="9"/>
      <c r="AO966" s="9"/>
      <c r="AP966" s="9"/>
      <c r="AQ966" s="9"/>
      <c r="AR966" s="9"/>
      <c r="AS966" s="9"/>
      <c r="AT966" s="9"/>
      <c r="AU966" s="9"/>
      <c r="AV966" s="9"/>
      <c r="AW966" s="9"/>
      <c r="AX966" s="9"/>
    </row>
    <row r="967" spans="1:50" ht="15.75" customHeight="1" x14ac:dyDescent="0.2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212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  <c r="AA967" s="212"/>
      <c r="AB967" s="9"/>
      <c r="AC967" s="9"/>
      <c r="AD967" s="9"/>
      <c r="AE967" s="9"/>
      <c r="AF967" s="9"/>
      <c r="AG967" s="9"/>
      <c r="AH967" s="9"/>
      <c r="AI967" s="9"/>
      <c r="AJ967" s="9"/>
      <c r="AK967" s="9"/>
      <c r="AL967" s="9"/>
      <c r="AM967" s="9"/>
      <c r="AN967" s="9"/>
      <c r="AO967" s="9"/>
      <c r="AP967" s="9"/>
      <c r="AQ967" s="9"/>
      <c r="AR967" s="9"/>
      <c r="AS967" s="9"/>
      <c r="AT967" s="9"/>
      <c r="AU967" s="9"/>
      <c r="AV967" s="9"/>
      <c r="AW967" s="9"/>
      <c r="AX967" s="9"/>
    </row>
    <row r="968" spans="1:50" ht="15.75" customHeight="1" x14ac:dyDescent="0.2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212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  <c r="AA968" s="212"/>
      <c r="AB968" s="9"/>
      <c r="AC968" s="9"/>
      <c r="AD968" s="9"/>
      <c r="AE968" s="9"/>
      <c r="AF968" s="9"/>
      <c r="AG968" s="9"/>
      <c r="AH968" s="9"/>
      <c r="AI968" s="9"/>
      <c r="AJ968" s="9"/>
      <c r="AK968" s="9"/>
      <c r="AL968" s="9"/>
      <c r="AM968" s="9"/>
      <c r="AN968" s="9"/>
      <c r="AO968" s="9"/>
      <c r="AP968" s="9"/>
      <c r="AQ968" s="9"/>
      <c r="AR968" s="9"/>
      <c r="AS968" s="9"/>
      <c r="AT968" s="9"/>
      <c r="AU968" s="9"/>
      <c r="AV968" s="9"/>
      <c r="AW968" s="9"/>
      <c r="AX968" s="9"/>
    </row>
    <row r="969" spans="1:50" ht="15.75" customHeight="1" x14ac:dyDescent="0.2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212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  <c r="AA969" s="212"/>
      <c r="AB969" s="9"/>
      <c r="AC969" s="9"/>
      <c r="AD969" s="9"/>
      <c r="AE969" s="9"/>
      <c r="AF969" s="9"/>
      <c r="AG969" s="9"/>
      <c r="AH969" s="9"/>
      <c r="AI969" s="9"/>
      <c r="AJ969" s="9"/>
      <c r="AK969" s="9"/>
      <c r="AL969" s="9"/>
      <c r="AM969" s="9"/>
      <c r="AN969" s="9"/>
      <c r="AO969" s="9"/>
      <c r="AP969" s="9"/>
      <c r="AQ969" s="9"/>
      <c r="AR969" s="9"/>
      <c r="AS969" s="9"/>
      <c r="AT969" s="9"/>
      <c r="AU969" s="9"/>
      <c r="AV969" s="9"/>
      <c r="AW969" s="9"/>
      <c r="AX969" s="9"/>
    </row>
    <row r="970" spans="1:50" ht="15.75" customHeight="1" x14ac:dyDescent="0.2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212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  <c r="AA970" s="212"/>
      <c r="AB970" s="9"/>
      <c r="AC970" s="9"/>
      <c r="AD970" s="9"/>
      <c r="AE970" s="9"/>
      <c r="AF970" s="9"/>
      <c r="AG970" s="9"/>
      <c r="AH970" s="9"/>
      <c r="AI970" s="9"/>
      <c r="AJ970" s="9"/>
      <c r="AK970" s="9"/>
      <c r="AL970" s="9"/>
      <c r="AM970" s="9"/>
      <c r="AN970" s="9"/>
      <c r="AO970" s="9"/>
      <c r="AP970" s="9"/>
      <c r="AQ970" s="9"/>
      <c r="AR970" s="9"/>
      <c r="AS970" s="9"/>
      <c r="AT970" s="9"/>
      <c r="AU970" s="9"/>
      <c r="AV970" s="9"/>
      <c r="AW970" s="9"/>
      <c r="AX970" s="9"/>
    </row>
    <row r="971" spans="1:50" ht="15.75" customHeight="1" x14ac:dyDescent="0.2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212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  <c r="AA971" s="212"/>
      <c r="AB971" s="9"/>
      <c r="AC971" s="9"/>
      <c r="AD971" s="9"/>
      <c r="AE971" s="9"/>
      <c r="AF971" s="9"/>
      <c r="AG971" s="9"/>
      <c r="AH971" s="9"/>
      <c r="AI971" s="9"/>
      <c r="AJ971" s="9"/>
      <c r="AK971" s="9"/>
      <c r="AL971" s="9"/>
      <c r="AM971" s="9"/>
      <c r="AN971" s="9"/>
      <c r="AO971" s="9"/>
      <c r="AP971" s="9"/>
      <c r="AQ971" s="9"/>
      <c r="AR971" s="9"/>
      <c r="AS971" s="9"/>
      <c r="AT971" s="9"/>
      <c r="AU971" s="9"/>
      <c r="AV971" s="9"/>
      <c r="AW971" s="9"/>
      <c r="AX971" s="9"/>
    </row>
    <row r="972" spans="1:50" ht="15.75" customHeight="1" x14ac:dyDescent="0.2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212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  <c r="AA972" s="212"/>
      <c r="AB972" s="9"/>
      <c r="AC972" s="9"/>
      <c r="AD972" s="9"/>
      <c r="AE972" s="9"/>
      <c r="AF972" s="9"/>
      <c r="AG972" s="9"/>
      <c r="AH972" s="9"/>
      <c r="AI972" s="9"/>
      <c r="AJ972" s="9"/>
      <c r="AK972" s="9"/>
      <c r="AL972" s="9"/>
      <c r="AM972" s="9"/>
      <c r="AN972" s="9"/>
      <c r="AO972" s="9"/>
      <c r="AP972" s="9"/>
      <c r="AQ972" s="9"/>
      <c r="AR972" s="9"/>
      <c r="AS972" s="9"/>
      <c r="AT972" s="9"/>
      <c r="AU972" s="9"/>
      <c r="AV972" s="9"/>
      <c r="AW972" s="9"/>
      <c r="AX972" s="9"/>
    </row>
    <row r="973" spans="1:50" ht="15.75" customHeight="1" x14ac:dyDescent="0.2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212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  <c r="AA973" s="212"/>
      <c r="AB973" s="9"/>
      <c r="AC973" s="9"/>
      <c r="AD973" s="9"/>
      <c r="AE973" s="9"/>
      <c r="AF973" s="9"/>
      <c r="AG973" s="9"/>
      <c r="AH973" s="9"/>
      <c r="AI973" s="9"/>
      <c r="AJ973" s="9"/>
      <c r="AK973" s="9"/>
      <c r="AL973" s="9"/>
      <c r="AM973" s="9"/>
      <c r="AN973" s="9"/>
      <c r="AO973" s="9"/>
      <c r="AP973" s="9"/>
      <c r="AQ973" s="9"/>
      <c r="AR973" s="9"/>
      <c r="AS973" s="9"/>
      <c r="AT973" s="9"/>
      <c r="AU973" s="9"/>
      <c r="AV973" s="9"/>
      <c r="AW973" s="9"/>
      <c r="AX973" s="9"/>
    </row>
    <row r="974" spans="1:50" ht="15.75" customHeight="1" x14ac:dyDescent="0.2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212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  <c r="AA974" s="212"/>
      <c r="AB974" s="9"/>
      <c r="AC974" s="9"/>
      <c r="AD974" s="9"/>
      <c r="AE974" s="9"/>
      <c r="AF974" s="9"/>
      <c r="AG974" s="9"/>
      <c r="AH974" s="9"/>
      <c r="AI974" s="9"/>
      <c r="AJ974" s="9"/>
      <c r="AK974" s="9"/>
      <c r="AL974" s="9"/>
      <c r="AM974" s="9"/>
      <c r="AN974" s="9"/>
      <c r="AO974" s="9"/>
      <c r="AP974" s="9"/>
      <c r="AQ974" s="9"/>
      <c r="AR974" s="9"/>
      <c r="AS974" s="9"/>
      <c r="AT974" s="9"/>
      <c r="AU974" s="9"/>
      <c r="AV974" s="9"/>
      <c r="AW974" s="9"/>
      <c r="AX974" s="9"/>
    </row>
    <row r="975" spans="1:50" ht="15.75" customHeight="1" x14ac:dyDescent="0.2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212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  <c r="AA975" s="212"/>
      <c r="AB975" s="9"/>
      <c r="AC975" s="9"/>
      <c r="AD975" s="9"/>
      <c r="AE975" s="9"/>
      <c r="AF975" s="9"/>
      <c r="AG975" s="9"/>
      <c r="AH975" s="9"/>
      <c r="AI975" s="9"/>
      <c r="AJ975" s="9"/>
      <c r="AK975" s="9"/>
      <c r="AL975" s="9"/>
      <c r="AM975" s="9"/>
      <c r="AN975" s="9"/>
      <c r="AO975" s="9"/>
      <c r="AP975" s="9"/>
      <c r="AQ975" s="9"/>
      <c r="AR975" s="9"/>
      <c r="AS975" s="9"/>
      <c r="AT975" s="9"/>
      <c r="AU975" s="9"/>
      <c r="AV975" s="9"/>
      <c r="AW975" s="9"/>
      <c r="AX975" s="9"/>
    </row>
    <row r="976" spans="1:50" ht="15.75" customHeight="1" x14ac:dyDescent="0.2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212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  <c r="AA976" s="212"/>
      <c r="AB976" s="9"/>
      <c r="AC976" s="9"/>
      <c r="AD976" s="9"/>
      <c r="AE976" s="9"/>
      <c r="AF976" s="9"/>
      <c r="AG976" s="9"/>
      <c r="AH976" s="9"/>
      <c r="AI976" s="9"/>
      <c r="AJ976" s="9"/>
      <c r="AK976" s="9"/>
      <c r="AL976" s="9"/>
      <c r="AM976" s="9"/>
      <c r="AN976" s="9"/>
      <c r="AO976" s="9"/>
      <c r="AP976" s="9"/>
      <c r="AQ976" s="9"/>
      <c r="AR976" s="9"/>
      <c r="AS976" s="9"/>
      <c r="AT976" s="9"/>
      <c r="AU976" s="9"/>
      <c r="AV976" s="9"/>
      <c r="AW976" s="9"/>
      <c r="AX976" s="9"/>
    </row>
    <row r="977" spans="1:50" ht="15.75" customHeight="1" x14ac:dyDescent="0.2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212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  <c r="AA977" s="212"/>
      <c r="AB977" s="9"/>
      <c r="AC977" s="9"/>
      <c r="AD977" s="9"/>
      <c r="AE977" s="9"/>
      <c r="AF977" s="9"/>
      <c r="AG977" s="9"/>
      <c r="AH977" s="9"/>
      <c r="AI977" s="9"/>
      <c r="AJ977" s="9"/>
      <c r="AK977" s="9"/>
      <c r="AL977" s="9"/>
      <c r="AM977" s="9"/>
      <c r="AN977" s="9"/>
      <c r="AO977" s="9"/>
      <c r="AP977" s="9"/>
      <c r="AQ977" s="9"/>
      <c r="AR977" s="9"/>
      <c r="AS977" s="9"/>
      <c r="AT977" s="9"/>
      <c r="AU977" s="9"/>
      <c r="AV977" s="9"/>
      <c r="AW977" s="9"/>
      <c r="AX977" s="9"/>
    </row>
    <row r="978" spans="1:50" ht="15.75" customHeight="1" x14ac:dyDescent="0.2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212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  <c r="AA978" s="212"/>
      <c r="AB978" s="9"/>
      <c r="AC978" s="9"/>
      <c r="AD978" s="9"/>
      <c r="AE978" s="9"/>
      <c r="AF978" s="9"/>
      <c r="AG978" s="9"/>
      <c r="AH978" s="9"/>
      <c r="AI978" s="9"/>
      <c r="AJ978" s="9"/>
      <c r="AK978" s="9"/>
      <c r="AL978" s="9"/>
      <c r="AM978" s="9"/>
      <c r="AN978" s="9"/>
      <c r="AO978" s="9"/>
      <c r="AP978" s="9"/>
      <c r="AQ978" s="9"/>
      <c r="AR978" s="9"/>
      <c r="AS978" s="9"/>
      <c r="AT978" s="9"/>
      <c r="AU978" s="9"/>
      <c r="AV978" s="9"/>
      <c r="AW978" s="9"/>
      <c r="AX978" s="9"/>
    </row>
    <row r="979" spans="1:50" ht="15.75" customHeight="1" x14ac:dyDescent="0.2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212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  <c r="AA979" s="212"/>
      <c r="AB979" s="9"/>
      <c r="AC979" s="9"/>
      <c r="AD979" s="9"/>
      <c r="AE979" s="9"/>
      <c r="AF979" s="9"/>
      <c r="AG979" s="9"/>
      <c r="AH979" s="9"/>
      <c r="AI979" s="9"/>
      <c r="AJ979" s="9"/>
      <c r="AK979" s="9"/>
      <c r="AL979" s="9"/>
      <c r="AM979" s="9"/>
      <c r="AN979" s="9"/>
      <c r="AO979" s="9"/>
      <c r="AP979" s="9"/>
      <c r="AQ979" s="9"/>
      <c r="AR979" s="9"/>
      <c r="AS979" s="9"/>
      <c r="AT979" s="9"/>
      <c r="AU979" s="9"/>
      <c r="AV979" s="9"/>
      <c r="AW979" s="9"/>
      <c r="AX979" s="9"/>
    </row>
    <row r="980" spans="1:50" ht="15.75" customHeight="1" x14ac:dyDescent="0.2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212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  <c r="AA980" s="212"/>
      <c r="AB980" s="9"/>
      <c r="AC980" s="9"/>
      <c r="AD980" s="9"/>
      <c r="AE980" s="9"/>
      <c r="AF980" s="9"/>
      <c r="AG980" s="9"/>
      <c r="AH980" s="9"/>
      <c r="AI980" s="9"/>
      <c r="AJ980" s="9"/>
      <c r="AK980" s="9"/>
      <c r="AL980" s="9"/>
      <c r="AM980" s="9"/>
      <c r="AN980" s="9"/>
      <c r="AO980" s="9"/>
      <c r="AP980" s="9"/>
      <c r="AQ980" s="9"/>
      <c r="AR980" s="9"/>
      <c r="AS980" s="9"/>
      <c r="AT980" s="9"/>
      <c r="AU980" s="9"/>
      <c r="AV980" s="9"/>
      <c r="AW980" s="9"/>
      <c r="AX980" s="9"/>
    </row>
    <row r="981" spans="1:50" ht="15.75" customHeight="1" x14ac:dyDescent="0.2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212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  <c r="AA981" s="212"/>
      <c r="AB981" s="9"/>
      <c r="AC981" s="9"/>
      <c r="AD981" s="9"/>
      <c r="AE981" s="9"/>
      <c r="AF981" s="9"/>
      <c r="AG981" s="9"/>
      <c r="AH981" s="9"/>
      <c r="AI981" s="9"/>
      <c r="AJ981" s="9"/>
      <c r="AK981" s="9"/>
      <c r="AL981" s="9"/>
      <c r="AM981" s="9"/>
      <c r="AN981" s="9"/>
      <c r="AO981" s="9"/>
      <c r="AP981" s="9"/>
      <c r="AQ981" s="9"/>
      <c r="AR981" s="9"/>
      <c r="AS981" s="9"/>
      <c r="AT981" s="9"/>
      <c r="AU981" s="9"/>
      <c r="AV981" s="9"/>
      <c r="AW981" s="9"/>
      <c r="AX981" s="9"/>
    </row>
    <row r="982" spans="1:50" ht="15.75" customHeight="1" x14ac:dyDescent="0.2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212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  <c r="AA982" s="212"/>
      <c r="AB982" s="9"/>
      <c r="AC982" s="9"/>
      <c r="AD982" s="9"/>
      <c r="AE982" s="9"/>
      <c r="AF982" s="9"/>
      <c r="AG982" s="9"/>
      <c r="AH982" s="9"/>
      <c r="AI982" s="9"/>
      <c r="AJ982" s="9"/>
      <c r="AK982" s="9"/>
      <c r="AL982" s="9"/>
      <c r="AM982" s="9"/>
      <c r="AN982" s="9"/>
      <c r="AO982" s="9"/>
      <c r="AP982" s="9"/>
      <c r="AQ982" s="9"/>
      <c r="AR982" s="9"/>
      <c r="AS982" s="9"/>
      <c r="AT982" s="9"/>
      <c r="AU982" s="9"/>
      <c r="AV982" s="9"/>
      <c r="AW982" s="9"/>
      <c r="AX982" s="9"/>
    </row>
    <row r="983" spans="1:50" ht="15.75" customHeight="1" x14ac:dyDescent="0.2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212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  <c r="AA983" s="212"/>
      <c r="AB983" s="9"/>
      <c r="AC983" s="9"/>
      <c r="AD983" s="9"/>
      <c r="AE983" s="9"/>
      <c r="AF983" s="9"/>
      <c r="AG983" s="9"/>
      <c r="AH983" s="9"/>
      <c r="AI983" s="9"/>
      <c r="AJ983" s="9"/>
      <c r="AK983" s="9"/>
      <c r="AL983" s="9"/>
      <c r="AM983" s="9"/>
      <c r="AN983" s="9"/>
      <c r="AO983" s="9"/>
      <c r="AP983" s="9"/>
      <c r="AQ983" s="9"/>
      <c r="AR983" s="9"/>
      <c r="AS983" s="9"/>
      <c r="AT983" s="9"/>
      <c r="AU983" s="9"/>
      <c r="AV983" s="9"/>
      <c r="AW983" s="9"/>
      <c r="AX983" s="9"/>
    </row>
    <row r="984" spans="1:50" ht="15.75" customHeight="1" x14ac:dyDescent="0.2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212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  <c r="AA984" s="212"/>
      <c r="AB984" s="9"/>
      <c r="AC984" s="9"/>
      <c r="AD984" s="9"/>
      <c r="AE984" s="9"/>
      <c r="AF984" s="9"/>
      <c r="AG984" s="9"/>
      <c r="AH984" s="9"/>
      <c r="AI984" s="9"/>
      <c r="AJ984" s="9"/>
      <c r="AK984" s="9"/>
      <c r="AL984" s="9"/>
      <c r="AM984" s="9"/>
      <c r="AN984" s="9"/>
      <c r="AO984" s="9"/>
      <c r="AP984" s="9"/>
      <c r="AQ984" s="9"/>
      <c r="AR984" s="9"/>
      <c r="AS984" s="9"/>
      <c r="AT984" s="9"/>
      <c r="AU984" s="9"/>
      <c r="AV984" s="9"/>
      <c r="AW984" s="9"/>
      <c r="AX984" s="9"/>
    </row>
    <row r="985" spans="1:50" ht="15.75" customHeight="1" x14ac:dyDescent="0.2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212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  <c r="AA985" s="212"/>
      <c r="AB985" s="9"/>
      <c r="AC985" s="9"/>
      <c r="AD985" s="9"/>
      <c r="AE985" s="9"/>
      <c r="AF985" s="9"/>
      <c r="AG985" s="9"/>
      <c r="AH985" s="9"/>
      <c r="AI985" s="9"/>
      <c r="AJ985" s="9"/>
      <c r="AK985" s="9"/>
      <c r="AL985" s="9"/>
      <c r="AM985" s="9"/>
      <c r="AN985" s="9"/>
      <c r="AO985" s="9"/>
      <c r="AP985" s="9"/>
      <c r="AQ985" s="9"/>
      <c r="AR985" s="9"/>
      <c r="AS985" s="9"/>
      <c r="AT985" s="9"/>
      <c r="AU985" s="9"/>
      <c r="AV985" s="9"/>
      <c r="AW985" s="9"/>
      <c r="AX985" s="9"/>
    </row>
    <row r="986" spans="1:50" ht="15.75" customHeight="1" x14ac:dyDescent="0.2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212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  <c r="AA986" s="212"/>
      <c r="AB986" s="9"/>
      <c r="AC986" s="9"/>
      <c r="AD986" s="9"/>
      <c r="AE986" s="9"/>
      <c r="AF986" s="9"/>
      <c r="AG986" s="9"/>
      <c r="AH986" s="9"/>
      <c r="AI986" s="9"/>
      <c r="AJ986" s="9"/>
      <c r="AK986" s="9"/>
      <c r="AL986" s="9"/>
      <c r="AM986" s="9"/>
      <c r="AN986" s="9"/>
      <c r="AO986" s="9"/>
      <c r="AP986" s="9"/>
      <c r="AQ986" s="9"/>
      <c r="AR986" s="9"/>
      <c r="AS986" s="9"/>
      <c r="AT986" s="9"/>
      <c r="AU986" s="9"/>
      <c r="AV986" s="9"/>
      <c r="AW986" s="9"/>
      <c r="AX986" s="9"/>
    </row>
    <row r="987" spans="1:50" ht="15.75" customHeight="1" x14ac:dyDescent="0.2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212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  <c r="AA987" s="212"/>
      <c r="AB987" s="9"/>
      <c r="AC987" s="9"/>
      <c r="AD987" s="9"/>
      <c r="AE987" s="9"/>
      <c r="AF987" s="9"/>
      <c r="AG987" s="9"/>
      <c r="AH987" s="9"/>
      <c r="AI987" s="9"/>
      <c r="AJ987" s="9"/>
      <c r="AK987" s="9"/>
      <c r="AL987" s="9"/>
      <c r="AM987" s="9"/>
      <c r="AN987" s="9"/>
      <c r="AO987" s="9"/>
      <c r="AP987" s="9"/>
      <c r="AQ987" s="9"/>
      <c r="AR987" s="9"/>
      <c r="AS987" s="9"/>
      <c r="AT987" s="9"/>
      <c r="AU987" s="9"/>
      <c r="AV987" s="9"/>
      <c r="AW987" s="9"/>
      <c r="AX987" s="9"/>
    </row>
    <row r="988" spans="1:50" ht="15.75" customHeight="1" x14ac:dyDescent="0.2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212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  <c r="AA988" s="212"/>
      <c r="AB988" s="9"/>
      <c r="AC988" s="9"/>
      <c r="AD988" s="9"/>
      <c r="AE988" s="9"/>
      <c r="AF988" s="9"/>
      <c r="AG988" s="9"/>
      <c r="AH988" s="9"/>
      <c r="AI988" s="9"/>
      <c r="AJ988" s="9"/>
      <c r="AK988" s="9"/>
      <c r="AL988" s="9"/>
      <c r="AM988" s="9"/>
      <c r="AN988" s="9"/>
      <c r="AO988" s="9"/>
      <c r="AP988" s="9"/>
      <c r="AQ988" s="9"/>
      <c r="AR988" s="9"/>
      <c r="AS988" s="9"/>
      <c r="AT988" s="9"/>
      <c r="AU988" s="9"/>
      <c r="AV988" s="9"/>
      <c r="AW988" s="9"/>
      <c r="AX988" s="9"/>
    </row>
    <row r="989" spans="1:50" ht="15.75" customHeight="1" x14ac:dyDescent="0.2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212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  <c r="AA989" s="212"/>
      <c r="AB989" s="9"/>
      <c r="AC989" s="9"/>
      <c r="AD989" s="9"/>
      <c r="AE989" s="9"/>
      <c r="AF989" s="9"/>
      <c r="AG989" s="9"/>
      <c r="AH989" s="9"/>
      <c r="AI989" s="9"/>
      <c r="AJ989" s="9"/>
      <c r="AK989" s="9"/>
      <c r="AL989" s="9"/>
      <c r="AM989" s="9"/>
      <c r="AN989" s="9"/>
      <c r="AO989" s="9"/>
      <c r="AP989" s="9"/>
      <c r="AQ989" s="9"/>
      <c r="AR989" s="9"/>
      <c r="AS989" s="9"/>
      <c r="AT989" s="9"/>
      <c r="AU989" s="9"/>
      <c r="AV989" s="9"/>
      <c r="AW989" s="9"/>
      <c r="AX989" s="9"/>
    </row>
    <row r="990" spans="1:50" ht="15.75" customHeight="1" x14ac:dyDescent="0.2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212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  <c r="AA990" s="212"/>
      <c r="AB990" s="9"/>
      <c r="AC990" s="9"/>
      <c r="AD990" s="9"/>
      <c r="AE990" s="9"/>
      <c r="AF990" s="9"/>
      <c r="AG990" s="9"/>
      <c r="AH990" s="9"/>
      <c r="AI990" s="9"/>
      <c r="AJ990" s="9"/>
      <c r="AK990" s="9"/>
      <c r="AL990" s="9"/>
      <c r="AM990" s="9"/>
      <c r="AN990" s="9"/>
      <c r="AO990" s="9"/>
      <c r="AP990" s="9"/>
      <c r="AQ990" s="9"/>
      <c r="AR990" s="9"/>
      <c r="AS990" s="9"/>
      <c r="AT990" s="9"/>
      <c r="AU990" s="9"/>
      <c r="AV990" s="9"/>
      <c r="AW990" s="9"/>
      <c r="AX990" s="9"/>
    </row>
    <row r="991" spans="1:50" ht="15.75" customHeight="1" x14ac:dyDescent="0.2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212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  <c r="AA991" s="212"/>
      <c r="AB991" s="9"/>
      <c r="AC991" s="9"/>
      <c r="AD991" s="9"/>
      <c r="AE991" s="9"/>
      <c r="AF991" s="9"/>
      <c r="AG991" s="9"/>
      <c r="AH991" s="9"/>
      <c r="AI991" s="9"/>
      <c r="AJ991" s="9"/>
      <c r="AK991" s="9"/>
      <c r="AL991" s="9"/>
      <c r="AM991" s="9"/>
      <c r="AN991" s="9"/>
      <c r="AO991" s="9"/>
      <c r="AP991" s="9"/>
      <c r="AQ991" s="9"/>
      <c r="AR991" s="9"/>
      <c r="AS991" s="9"/>
      <c r="AT991" s="9"/>
      <c r="AU991" s="9"/>
      <c r="AV991" s="9"/>
      <c r="AW991" s="9"/>
      <c r="AX991" s="9"/>
    </row>
    <row r="992" spans="1:50" ht="15.75" customHeight="1" x14ac:dyDescent="0.2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212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  <c r="AA992" s="212"/>
      <c r="AB992" s="9"/>
      <c r="AC992" s="9"/>
      <c r="AD992" s="9"/>
      <c r="AE992" s="9"/>
      <c r="AF992" s="9"/>
      <c r="AG992" s="9"/>
      <c r="AH992" s="9"/>
      <c r="AI992" s="9"/>
      <c r="AJ992" s="9"/>
      <c r="AK992" s="9"/>
      <c r="AL992" s="9"/>
      <c r="AM992" s="9"/>
      <c r="AN992" s="9"/>
      <c r="AO992" s="9"/>
      <c r="AP992" s="9"/>
      <c r="AQ992" s="9"/>
      <c r="AR992" s="9"/>
      <c r="AS992" s="9"/>
      <c r="AT992" s="9"/>
      <c r="AU992" s="9"/>
      <c r="AV992" s="9"/>
      <c r="AW992" s="9"/>
      <c r="AX992" s="9"/>
    </row>
    <row r="993" spans="1:50" ht="15.75" customHeight="1" x14ac:dyDescent="0.2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212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  <c r="AA993" s="212"/>
      <c r="AB993" s="9"/>
      <c r="AC993" s="9"/>
      <c r="AD993" s="9"/>
      <c r="AE993" s="9"/>
      <c r="AF993" s="9"/>
      <c r="AG993" s="9"/>
      <c r="AH993" s="9"/>
      <c r="AI993" s="9"/>
      <c r="AJ993" s="9"/>
      <c r="AK993" s="9"/>
      <c r="AL993" s="9"/>
      <c r="AM993" s="9"/>
      <c r="AN993" s="9"/>
      <c r="AO993" s="9"/>
      <c r="AP993" s="9"/>
      <c r="AQ993" s="9"/>
      <c r="AR993" s="9"/>
      <c r="AS993" s="9"/>
      <c r="AT993" s="9"/>
      <c r="AU993" s="9"/>
      <c r="AV993" s="9"/>
      <c r="AW993" s="9"/>
      <c r="AX993" s="9"/>
    </row>
    <row r="994" spans="1:50" ht="15.75" customHeight="1" x14ac:dyDescent="0.2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212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  <c r="AA994" s="212"/>
      <c r="AB994" s="9"/>
      <c r="AC994" s="9"/>
      <c r="AD994" s="9"/>
      <c r="AE994" s="9"/>
      <c r="AF994" s="9"/>
      <c r="AG994" s="9"/>
      <c r="AH994" s="9"/>
      <c r="AI994" s="9"/>
      <c r="AJ994" s="9"/>
      <c r="AK994" s="9"/>
      <c r="AL994" s="9"/>
      <c r="AM994" s="9"/>
      <c r="AN994" s="9"/>
      <c r="AO994" s="9"/>
      <c r="AP994" s="9"/>
      <c r="AQ994" s="9"/>
      <c r="AR994" s="9"/>
      <c r="AS994" s="9"/>
      <c r="AT994" s="9"/>
      <c r="AU994" s="9"/>
      <c r="AV994" s="9"/>
      <c r="AW994" s="9"/>
      <c r="AX994" s="9"/>
    </row>
    <row r="995" spans="1:50" ht="15.75" customHeight="1" x14ac:dyDescent="0.2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212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  <c r="AA995" s="212"/>
      <c r="AB995" s="9"/>
      <c r="AC995" s="9"/>
      <c r="AD995" s="9"/>
      <c r="AE995" s="9"/>
      <c r="AF995" s="9"/>
      <c r="AG995" s="9"/>
      <c r="AH995" s="9"/>
      <c r="AI995" s="9"/>
      <c r="AJ995" s="9"/>
      <c r="AK995" s="9"/>
      <c r="AL995" s="9"/>
      <c r="AM995" s="9"/>
      <c r="AN995" s="9"/>
      <c r="AO995" s="9"/>
      <c r="AP995" s="9"/>
      <c r="AQ995" s="9"/>
      <c r="AR995" s="9"/>
      <c r="AS995" s="9"/>
      <c r="AT995" s="9"/>
      <c r="AU995" s="9"/>
      <c r="AV995" s="9"/>
      <c r="AW995" s="9"/>
      <c r="AX995" s="9"/>
    </row>
    <row r="996" spans="1:50" ht="15.75" customHeight="1" x14ac:dyDescent="0.2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212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  <c r="AA996" s="212"/>
      <c r="AB996" s="9"/>
      <c r="AC996" s="9"/>
      <c r="AD996" s="9"/>
      <c r="AE996" s="9"/>
      <c r="AF996" s="9"/>
      <c r="AG996" s="9"/>
      <c r="AH996" s="9"/>
      <c r="AI996" s="9"/>
      <c r="AJ996" s="9"/>
      <c r="AK996" s="9"/>
      <c r="AL996" s="9"/>
      <c r="AM996" s="9"/>
      <c r="AN996" s="9"/>
      <c r="AO996" s="9"/>
      <c r="AP996" s="9"/>
      <c r="AQ996" s="9"/>
      <c r="AR996" s="9"/>
      <c r="AS996" s="9"/>
      <c r="AT996" s="9"/>
      <c r="AU996" s="9"/>
      <c r="AV996" s="9"/>
      <c r="AW996" s="9"/>
      <c r="AX996" s="9"/>
    </row>
    <row r="997" spans="1:50" ht="15.75" customHeight="1" x14ac:dyDescent="0.2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212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  <c r="AA997" s="212"/>
      <c r="AB997" s="9"/>
      <c r="AC997" s="9"/>
      <c r="AD997" s="9"/>
      <c r="AE997" s="9"/>
      <c r="AF997" s="9"/>
      <c r="AG997" s="9"/>
      <c r="AH997" s="9"/>
      <c r="AI997" s="9"/>
      <c r="AJ997" s="9"/>
      <c r="AK997" s="9"/>
      <c r="AL997" s="9"/>
      <c r="AM997" s="9"/>
      <c r="AN997" s="9"/>
      <c r="AO997" s="9"/>
      <c r="AP997" s="9"/>
      <c r="AQ997" s="9"/>
      <c r="AR997" s="9"/>
      <c r="AS997" s="9"/>
      <c r="AT997" s="9"/>
      <c r="AU997" s="9"/>
      <c r="AV997" s="9"/>
      <c r="AW997" s="9"/>
      <c r="AX997" s="9"/>
    </row>
    <row r="998" spans="1:50" ht="15.75" customHeight="1" x14ac:dyDescent="0.2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212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  <c r="AA998" s="212"/>
      <c r="AB998" s="9"/>
      <c r="AC998" s="9"/>
      <c r="AD998" s="9"/>
      <c r="AE998" s="9"/>
      <c r="AF998" s="9"/>
      <c r="AG998" s="9"/>
      <c r="AH998" s="9"/>
      <c r="AI998" s="9"/>
      <c r="AJ998" s="9"/>
      <c r="AK998" s="9"/>
      <c r="AL998" s="9"/>
      <c r="AM998" s="9"/>
      <c r="AN998" s="9"/>
      <c r="AO998" s="9"/>
      <c r="AP998" s="9"/>
      <c r="AQ998" s="9"/>
      <c r="AR998" s="9"/>
      <c r="AS998" s="9"/>
      <c r="AT998" s="9"/>
      <c r="AU998" s="9"/>
      <c r="AV998" s="9"/>
      <c r="AW998" s="9"/>
      <c r="AX998" s="9"/>
    </row>
    <row r="999" spans="1:50" ht="15.75" customHeight="1" x14ac:dyDescent="0.2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212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  <c r="AA999" s="212"/>
      <c r="AB999" s="9"/>
      <c r="AC999" s="9"/>
      <c r="AD999" s="9"/>
      <c r="AE999" s="9"/>
      <c r="AF999" s="9"/>
      <c r="AG999" s="9"/>
      <c r="AH999" s="9"/>
      <c r="AI999" s="9"/>
      <c r="AJ999" s="9"/>
      <c r="AK999" s="9"/>
      <c r="AL999" s="9"/>
      <c r="AM999" s="9"/>
      <c r="AN999" s="9"/>
      <c r="AO999" s="9"/>
      <c r="AP999" s="9"/>
      <c r="AQ999" s="9"/>
      <c r="AR999" s="9"/>
      <c r="AS999" s="9"/>
      <c r="AT999" s="9"/>
      <c r="AU999" s="9"/>
      <c r="AV999" s="9"/>
      <c r="AW999" s="9"/>
      <c r="AX999" s="9"/>
    </row>
    <row r="1000" spans="1:50" ht="15.75" customHeight="1" x14ac:dyDescent="0.2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212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  <c r="AA1000" s="212"/>
      <c r="AB1000" s="9"/>
      <c r="AC1000" s="9"/>
      <c r="AD1000" s="9"/>
      <c r="AE1000" s="9"/>
      <c r="AF1000" s="9"/>
      <c r="AG1000" s="9"/>
      <c r="AH1000" s="9"/>
      <c r="AI1000" s="9"/>
      <c r="AJ1000" s="9"/>
      <c r="AK1000" s="9"/>
      <c r="AL1000" s="9"/>
      <c r="AM1000" s="9"/>
      <c r="AN1000" s="9"/>
      <c r="AO1000" s="9"/>
      <c r="AP1000" s="9"/>
      <c r="AQ1000" s="9"/>
      <c r="AR1000" s="9"/>
      <c r="AS1000" s="9"/>
      <c r="AT1000" s="9"/>
      <c r="AU1000" s="9"/>
      <c r="AV1000" s="9"/>
      <c r="AW1000" s="9"/>
      <c r="AX1000" s="9"/>
    </row>
    <row r="1001" spans="1:50" ht="15.75" customHeight="1" x14ac:dyDescent="0.2">
      <c r="A1001" s="9"/>
      <c r="B1001" s="9"/>
      <c r="C1001" s="9"/>
      <c r="D1001" s="9"/>
      <c r="E1001" s="9"/>
      <c r="F1001" s="9"/>
      <c r="G1001" s="9"/>
      <c r="H1001" s="9"/>
      <c r="I1001" s="9"/>
      <c r="J1001" s="9"/>
      <c r="K1001" s="9"/>
      <c r="L1001" s="9"/>
      <c r="M1001" s="9"/>
      <c r="N1001" s="9"/>
      <c r="O1001" s="212"/>
      <c r="P1001" s="9"/>
      <c r="Q1001" s="9"/>
      <c r="R1001" s="9"/>
      <c r="S1001" s="9"/>
      <c r="T1001" s="9"/>
      <c r="U1001" s="9"/>
      <c r="V1001" s="9"/>
      <c r="W1001" s="9"/>
      <c r="X1001" s="9"/>
      <c r="Y1001" s="9"/>
      <c r="Z1001" s="9"/>
      <c r="AA1001" s="212"/>
      <c r="AB1001" s="9"/>
      <c r="AC1001" s="9"/>
      <c r="AD1001" s="9"/>
      <c r="AE1001" s="9"/>
      <c r="AF1001" s="9"/>
      <c r="AG1001" s="9"/>
      <c r="AH1001" s="9"/>
      <c r="AI1001" s="9"/>
      <c r="AJ1001" s="9"/>
      <c r="AK1001" s="9"/>
      <c r="AL1001" s="9"/>
      <c r="AM1001" s="9"/>
      <c r="AN1001" s="9"/>
      <c r="AO1001" s="9"/>
      <c r="AP1001" s="9"/>
      <c r="AQ1001" s="9"/>
      <c r="AR1001" s="9"/>
      <c r="AS1001" s="9"/>
      <c r="AT1001" s="9"/>
      <c r="AU1001" s="9"/>
      <c r="AV1001" s="9"/>
      <c r="AW1001" s="9"/>
      <c r="AX1001" s="9"/>
    </row>
    <row r="1002" spans="1:50" ht="15.75" customHeight="1" x14ac:dyDescent="0.2">
      <c r="A1002" s="9"/>
      <c r="B1002" s="9"/>
      <c r="C1002" s="9"/>
      <c r="D1002" s="9"/>
      <c r="E1002" s="9"/>
      <c r="F1002" s="9"/>
      <c r="G1002" s="9"/>
      <c r="H1002" s="9"/>
      <c r="I1002" s="9"/>
      <c r="J1002" s="9"/>
      <c r="K1002" s="9"/>
      <c r="L1002" s="9"/>
      <c r="M1002" s="9"/>
      <c r="N1002" s="9"/>
      <c r="O1002" s="212"/>
      <c r="P1002" s="9"/>
      <c r="Q1002" s="9"/>
      <c r="R1002" s="9"/>
      <c r="S1002" s="9"/>
      <c r="T1002" s="9"/>
      <c r="U1002" s="9"/>
      <c r="V1002" s="9"/>
      <c r="W1002" s="9"/>
      <c r="X1002" s="9"/>
      <c r="Y1002" s="9"/>
      <c r="Z1002" s="9"/>
      <c r="AA1002" s="212"/>
      <c r="AB1002" s="9"/>
      <c r="AC1002" s="9"/>
      <c r="AD1002" s="9"/>
      <c r="AE1002" s="9"/>
      <c r="AF1002" s="9"/>
      <c r="AG1002" s="9"/>
      <c r="AH1002" s="9"/>
      <c r="AI1002" s="9"/>
      <c r="AJ1002" s="9"/>
      <c r="AK1002" s="9"/>
      <c r="AL1002" s="9"/>
      <c r="AM1002" s="9"/>
      <c r="AN1002" s="9"/>
      <c r="AO1002" s="9"/>
      <c r="AP1002" s="9"/>
      <c r="AQ1002" s="9"/>
      <c r="AR1002" s="9"/>
      <c r="AS1002" s="9"/>
      <c r="AT1002" s="9"/>
      <c r="AU1002" s="9"/>
      <c r="AV1002" s="9"/>
      <c r="AW1002" s="9"/>
      <c r="AX1002" s="9"/>
    </row>
    <row r="1003" spans="1:50" ht="15.75" customHeight="1" x14ac:dyDescent="0.2">
      <c r="A1003" s="9"/>
      <c r="B1003" s="9"/>
      <c r="C1003" s="9"/>
      <c r="D1003" s="9"/>
      <c r="E1003" s="9"/>
      <c r="F1003" s="9"/>
      <c r="G1003" s="9"/>
      <c r="H1003" s="9"/>
      <c r="I1003" s="9"/>
      <c r="J1003" s="9"/>
      <c r="K1003" s="9"/>
      <c r="L1003" s="9"/>
      <c r="M1003" s="9"/>
      <c r="N1003" s="9"/>
      <c r="O1003" s="212"/>
      <c r="P1003" s="9"/>
      <c r="Q1003" s="9"/>
      <c r="R1003" s="9"/>
      <c r="S1003" s="9"/>
      <c r="T1003" s="9"/>
      <c r="U1003" s="9"/>
      <c r="V1003" s="9"/>
      <c r="W1003" s="9"/>
      <c r="X1003" s="9"/>
      <c r="Y1003" s="9"/>
      <c r="Z1003" s="9"/>
      <c r="AA1003" s="212"/>
      <c r="AB1003" s="9"/>
      <c r="AC1003" s="9"/>
      <c r="AD1003" s="9"/>
      <c r="AE1003" s="9"/>
      <c r="AF1003" s="9"/>
      <c r="AG1003" s="9"/>
      <c r="AH1003" s="9"/>
      <c r="AI1003" s="9"/>
      <c r="AJ1003" s="9"/>
      <c r="AK1003" s="9"/>
      <c r="AL1003" s="9"/>
      <c r="AM1003" s="9"/>
      <c r="AN1003" s="9"/>
      <c r="AO1003" s="9"/>
      <c r="AP1003" s="9"/>
      <c r="AQ1003" s="9"/>
      <c r="AR1003" s="9"/>
      <c r="AS1003" s="9"/>
      <c r="AT1003" s="9"/>
      <c r="AU1003" s="9"/>
      <c r="AV1003" s="9"/>
      <c r="AW1003" s="9"/>
      <c r="AX1003" s="9"/>
    </row>
    <row r="1004" spans="1:50" ht="15.75" customHeight="1" x14ac:dyDescent="0.2">
      <c r="A1004" s="9"/>
      <c r="B1004" s="9"/>
      <c r="C1004" s="9"/>
      <c r="D1004" s="9"/>
      <c r="E1004" s="9"/>
      <c r="F1004" s="9"/>
      <c r="G1004" s="9"/>
      <c r="H1004" s="9"/>
      <c r="I1004" s="9"/>
      <c r="J1004" s="9"/>
      <c r="K1004" s="9"/>
      <c r="L1004" s="9"/>
      <c r="M1004" s="9"/>
      <c r="N1004" s="9"/>
      <c r="O1004" s="212"/>
      <c r="P1004" s="9"/>
      <c r="Q1004" s="9"/>
      <c r="R1004" s="9"/>
      <c r="S1004" s="9"/>
      <c r="T1004" s="9"/>
      <c r="U1004" s="9"/>
      <c r="V1004" s="9"/>
      <c r="W1004" s="9"/>
      <c r="X1004" s="9"/>
      <c r="Y1004" s="9"/>
      <c r="Z1004" s="9"/>
      <c r="AA1004" s="212"/>
      <c r="AB1004" s="9"/>
      <c r="AC1004" s="9"/>
      <c r="AD1004" s="9"/>
      <c r="AE1004" s="9"/>
      <c r="AF1004" s="9"/>
      <c r="AG1004" s="9"/>
      <c r="AH1004" s="9"/>
      <c r="AI1004" s="9"/>
      <c r="AJ1004" s="9"/>
      <c r="AK1004" s="9"/>
      <c r="AL1004" s="9"/>
      <c r="AM1004" s="9"/>
      <c r="AN1004" s="9"/>
      <c r="AO1004" s="9"/>
      <c r="AP1004" s="9"/>
      <c r="AQ1004" s="9"/>
      <c r="AR1004" s="9"/>
      <c r="AS1004" s="9"/>
      <c r="AT1004" s="9"/>
      <c r="AU1004" s="9"/>
      <c r="AV1004" s="9"/>
      <c r="AW1004" s="9"/>
      <c r="AX1004" s="9"/>
    </row>
    <row r="1005" spans="1:50" ht="15.75" customHeight="1" x14ac:dyDescent="0.2">
      <c r="A1005" s="9"/>
      <c r="B1005" s="9"/>
      <c r="C1005" s="9"/>
      <c r="D1005" s="9"/>
      <c r="E1005" s="9"/>
      <c r="F1005" s="9"/>
      <c r="G1005" s="9"/>
      <c r="H1005" s="9"/>
      <c r="I1005" s="9"/>
      <c r="J1005" s="9"/>
      <c r="K1005" s="9"/>
      <c r="L1005" s="9"/>
      <c r="M1005" s="9"/>
      <c r="N1005" s="9"/>
      <c r="O1005" s="212"/>
      <c r="P1005" s="9"/>
      <c r="Q1005" s="9"/>
      <c r="R1005" s="9"/>
      <c r="S1005" s="9"/>
      <c r="T1005" s="9"/>
      <c r="U1005" s="9"/>
      <c r="V1005" s="9"/>
      <c r="W1005" s="9"/>
      <c r="X1005" s="9"/>
      <c r="Y1005" s="9"/>
      <c r="Z1005" s="9"/>
      <c r="AA1005" s="212"/>
      <c r="AB1005" s="9"/>
      <c r="AC1005" s="9"/>
      <c r="AD1005" s="9"/>
      <c r="AE1005" s="9"/>
      <c r="AF1005" s="9"/>
      <c r="AG1005" s="9"/>
      <c r="AH1005" s="9"/>
      <c r="AI1005" s="9"/>
      <c r="AJ1005" s="9"/>
      <c r="AK1005" s="9"/>
      <c r="AL1005" s="9"/>
      <c r="AM1005" s="9"/>
      <c r="AN1005" s="9"/>
      <c r="AO1005" s="9"/>
      <c r="AP1005" s="9"/>
      <c r="AQ1005" s="9"/>
      <c r="AR1005" s="9"/>
      <c r="AS1005" s="9"/>
      <c r="AT1005" s="9"/>
      <c r="AU1005" s="9"/>
      <c r="AV1005" s="9"/>
      <c r="AW1005" s="9"/>
      <c r="AX1005" s="9"/>
    </row>
    <row r="1006" spans="1:50" ht="15.75" customHeight="1" x14ac:dyDescent="0.2">
      <c r="A1006" s="9"/>
      <c r="B1006" s="9"/>
      <c r="C1006" s="9"/>
      <c r="D1006" s="9"/>
      <c r="E1006" s="9"/>
      <c r="F1006" s="9"/>
      <c r="G1006" s="9"/>
      <c r="H1006" s="9"/>
      <c r="I1006" s="9"/>
      <c r="J1006" s="9"/>
      <c r="K1006" s="9"/>
      <c r="L1006" s="9"/>
      <c r="M1006" s="9"/>
      <c r="N1006" s="9"/>
      <c r="O1006" s="212"/>
      <c r="P1006" s="9"/>
      <c r="Q1006" s="9"/>
      <c r="R1006" s="9"/>
      <c r="S1006" s="9"/>
      <c r="T1006" s="9"/>
      <c r="U1006" s="9"/>
      <c r="V1006" s="9"/>
      <c r="W1006" s="9"/>
      <c r="X1006" s="9"/>
      <c r="Y1006" s="9"/>
      <c r="Z1006" s="9"/>
      <c r="AA1006" s="212"/>
      <c r="AB1006" s="9"/>
      <c r="AC1006" s="9"/>
      <c r="AD1006" s="9"/>
      <c r="AE1006" s="9"/>
      <c r="AF1006" s="9"/>
      <c r="AG1006" s="9"/>
      <c r="AH1006" s="9"/>
      <c r="AI1006" s="9"/>
      <c r="AJ1006" s="9"/>
      <c r="AK1006" s="9"/>
      <c r="AL1006" s="9"/>
      <c r="AM1006" s="9"/>
      <c r="AN1006" s="9"/>
      <c r="AO1006" s="9"/>
      <c r="AP1006" s="9"/>
      <c r="AQ1006" s="9"/>
      <c r="AR1006" s="9"/>
      <c r="AS1006" s="9"/>
      <c r="AT1006" s="9"/>
      <c r="AU1006" s="9"/>
      <c r="AV1006" s="9"/>
      <c r="AW1006" s="9"/>
      <c r="AX1006" s="9"/>
    </row>
    <row r="1007" spans="1:50" ht="15.75" customHeight="1" x14ac:dyDescent="0.2">
      <c r="A1007" s="9"/>
      <c r="B1007" s="9"/>
      <c r="C1007" s="9"/>
      <c r="D1007" s="9"/>
      <c r="E1007" s="9"/>
      <c r="F1007" s="9"/>
      <c r="G1007" s="9"/>
      <c r="H1007" s="9"/>
      <c r="I1007" s="9"/>
      <c r="J1007" s="9"/>
      <c r="K1007" s="9"/>
      <c r="L1007" s="9"/>
      <c r="M1007" s="9"/>
      <c r="N1007" s="9"/>
      <c r="O1007" s="212"/>
      <c r="P1007" s="9"/>
      <c r="Q1007" s="9"/>
      <c r="R1007" s="9"/>
      <c r="S1007" s="9"/>
      <c r="T1007" s="9"/>
      <c r="U1007" s="9"/>
      <c r="V1007" s="9"/>
      <c r="W1007" s="9"/>
      <c r="X1007" s="9"/>
      <c r="Y1007" s="9"/>
      <c r="Z1007" s="9"/>
      <c r="AA1007" s="212"/>
      <c r="AB1007" s="9"/>
      <c r="AC1007" s="9"/>
      <c r="AD1007" s="9"/>
      <c r="AE1007" s="9"/>
      <c r="AF1007" s="9"/>
      <c r="AG1007" s="9"/>
      <c r="AH1007" s="9"/>
      <c r="AI1007" s="9"/>
      <c r="AJ1007" s="9"/>
      <c r="AK1007" s="9"/>
      <c r="AL1007" s="9"/>
      <c r="AM1007" s="9"/>
      <c r="AN1007" s="9"/>
      <c r="AO1007" s="9"/>
      <c r="AP1007" s="9"/>
      <c r="AQ1007" s="9"/>
      <c r="AR1007" s="9"/>
      <c r="AS1007" s="9"/>
      <c r="AT1007" s="9"/>
      <c r="AU1007" s="9"/>
      <c r="AV1007" s="9"/>
      <c r="AW1007" s="9"/>
      <c r="AX1007" s="9"/>
    </row>
    <row r="1008" spans="1:50" ht="15.75" customHeight="1" x14ac:dyDescent="0.2">
      <c r="A1008" s="9"/>
      <c r="B1008" s="9"/>
      <c r="C1008" s="9"/>
      <c r="D1008" s="9"/>
      <c r="E1008" s="9"/>
      <c r="F1008" s="9"/>
      <c r="G1008" s="9"/>
      <c r="H1008" s="9"/>
      <c r="I1008" s="9"/>
      <c r="J1008" s="9"/>
      <c r="K1008" s="9"/>
      <c r="L1008" s="9"/>
      <c r="M1008" s="9"/>
      <c r="N1008" s="9"/>
      <c r="O1008" s="212"/>
      <c r="P1008" s="9"/>
      <c r="Q1008" s="9"/>
      <c r="R1008" s="9"/>
      <c r="S1008" s="9"/>
      <c r="T1008" s="9"/>
      <c r="U1008" s="9"/>
      <c r="V1008" s="9"/>
      <c r="W1008" s="9"/>
      <c r="X1008" s="9"/>
      <c r="Y1008" s="9"/>
      <c r="Z1008" s="9"/>
      <c r="AA1008" s="212"/>
      <c r="AB1008" s="9"/>
      <c r="AC1008" s="9"/>
      <c r="AD1008" s="9"/>
      <c r="AE1008" s="9"/>
      <c r="AF1008" s="9"/>
      <c r="AG1008" s="9"/>
      <c r="AH1008" s="9"/>
      <c r="AI1008" s="9"/>
      <c r="AJ1008" s="9"/>
      <c r="AK1008" s="9"/>
      <c r="AL1008" s="9"/>
      <c r="AM1008" s="9"/>
      <c r="AN1008" s="9"/>
      <c r="AO1008" s="9"/>
      <c r="AP1008" s="9"/>
      <c r="AQ1008" s="9"/>
      <c r="AR1008" s="9"/>
      <c r="AS1008" s="9"/>
      <c r="AT1008" s="9"/>
      <c r="AU1008" s="9"/>
      <c r="AV1008" s="9"/>
      <c r="AW1008" s="9"/>
      <c r="AX1008" s="9"/>
    </row>
    <row r="1009" spans="1:50" ht="15.75" customHeight="1" x14ac:dyDescent="0.2">
      <c r="A1009" s="9"/>
      <c r="B1009" s="9"/>
      <c r="C1009" s="9"/>
      <c r="D1009" s="9"/>
      <c r="E1009" s="9"/>
      <c r="F1009" s="9"/>
      <c r="G1009" s="9"/>
      <c r="H1009" s="9"/>
      <c r="I1009" s="9"/>
      <c r="J1009" s="9"/>
      <c r="K1009" s="9"/>
      <c r="L1009" s="9"/>
      <c r="M1009" s="9"/>
      <c r="N1009" s="9"/>
      <c r="O1009" s="212"/>
      <c r="P1009" s="9"/>
      <c r="Q1009" s="9"/>
      <c r="R1009" s="9"/>
      <c r="S1009" s="9"/>
      <c r="T1009" s="9"/>
      <c r="U1009" s="9"/>
      <c r="V1009" s="9"/>
      <c r="W1009" s="9"/>
      <c r="X1009" s="9"/>
      <c r="Y1009" s="9"/>
      <c r="Z1009" s="9"/>
      <c r="AA1009" s="212"/>
      <c r="AB1009" s="9"/>
      <c r="AC1009" s="9"/>
      <c r="AD1009" s="9"/>
      <c r="AE1009" s="9"/>
      <c r="AF1009" s="9"/>
      <c r="AG1009" s="9"/>
      <c r="AH1009" s="9"/>
      <c r="AI1009" s="9"/>
      <c r="AJ1009" s="9"/>
      <c r="AK1009" s="9"/>
      <c r="AL1009" s="9"/>
      <c r="AM1009" s="9"/>
      <c r="AN1009" s="9"/>
      <c r="AO1009" s="9"/>
      <c r="AP1009" s="9"/>
      <c r="AQ1009" s="9"/>
      <c r="AR1009" s="9"/>
      <c r="AS1009" s="9"/>
      <c r="AT1009" s="9"/>
      <c r="AU1009" s="9"/>
      <c r="AV1009" s="9"/>
      <c r="AW1009" s="9"/>
      <c r="AX1009" s="9"/>
    </row>
    <row r="1010" spans="1:50" ht="15.75" customHeight="1" x14ac:dyDescent="0.2">
      <c r="A1010" s="9"/>
      <c r="B1010" s="9"/>
      <c r="C1010" s="9"/>
      <c r="D1010" s="9"/>
      <c r="E1010" s="9"/>
      <c r="F1010" s="9"/>
      <c r="G1010" s="9"/>
      <c r="H1010" s="9"/>
      <c r="I1010" s="9"/>
      <c r="J1010" s="9"/>
      <c r="K1010" s="9"/>
      <c r="L1010" s="9"/>
      <c r="M1010" s="9"/>
      <c r="N1010" s="9"/>
      <c r="O1010" s="212"/>
      <c r="P1010" s="9"/>
      <c r="Q1010" s="9"/>
      <c r="R1010" s="9"/>
      <c r="S1010" s="9"/>
      <c r="T1010" s="9"/>
      <c r="U1010" s="9"/>
      <c r="V1010" s="9"/>
      <c r="W1010" s="9"/>
      <c r="X1010" s="9"/>
      <c r="Y1010" s="9"/>
      <c r="Z1010" s="9"/>
      <c r="AA1010" s="212"/>
      <c r="AB1010" s="9"/>
      <c r="AC1010" s="9"/>
      <c r="AD1010" s="9"/>
      <c r="AE1010" s="9"/>
      <c r="AF1010" s="9"/>
      <c r="AG1010" s="9"/>
      <c r="AH1010" s="9"/>
      <c r="AI1010" s="9"/>
      <c r="AJ1010" s="9"/>
      <c r="AK1010" s="9"/>
      <c r="AL1010" s="9"/>
      <c r="AM1010" s="9"/>
      <c r="AN1010" s="9"/>
      <c r="AO1010" s="9"/>
      <c r="AP1010" s="9"/>
      <c r="AQ1010" s="9"/>
      <c r="AR1010" s="9"/>
      <c r="AS1010" s="9"/>
      <c r="AT1010" s="9"/>
      <c r="AU1010" s="9"/>
      <c r="AV1010" s="9"/>
      <c r="AW1010" s="9"/>
      <c r="AX1010" s="9"/>
    </row>
    <row r="1011" spans="1:50" ht="15.75" customHeight="1" x14ac:dyDescent="0.2">
      <c r="A1011" s="9"/>
      <c r="B1011" s="9"/>
      <c r="C1011" s="9"/>
      <c r="D1011" s="9"/>
      <c r="E1011" s="9"/>
      <c r="F1011" s="9"/>
      <c r="G1011" s="9"/>
      <c r="H1011" s="9"/>
      <c r="I1011" s="9"/>
      <c r="J1011" s="9"/>
      <c r="K1011" s="9"/>
      <c r="L1011" s="9"/>
      <c r="M1011" s="9"/>
      <c r="N1011" s="9"/>
      <c r="O1011" s="212"/>
      <c r="P1011" s="9"/>
      <c r="Q1011" s="9"/>
      <c r="R1011" s="9"/>
      <c r="S1011" s="9"/>
      <c r="T1011" s="9"/>
      <c r="U1011" s="9"/>
      <c r="V1011" s="9"/>
      <c r="W1011" s="9"/>
      <c r="X1011" s="9"/>
      <c r="Y1011" s="9"/>
      <c r="Z1011" s="9"/>
      <c r="AA1011" s="212"/>
      <c r="AB1011" s="9"/>
      <c r="AC1011" s="9"/>
      <c r="AD1011" s="9"/>
      <c r="AE1011" s="9"/>
      <c r="AF1011" s="9"/>
      <c r="AG1011" s="9"/>
      <c r="AH1011" s="9"/>
      <c r="AI1011" s="9"/>
      <c r="AJ1011" s="9"/>
      <c r="AK1011" s="9"/>
      <c r="AL1011" s="9"/>
      <c r="AM1011" s="9"/>
      <c r="AN1011" s="9"/>
      <c r="AO1011" s="9"/>
      <c r="AP1011" s="9"/>
      <c r="AQ1011" s="9"/>
      <c r="AR1011" s="9"/>
      <c r="AS1011" s="9"/>
      <c r="AT1011" s="9"/>
      <c r="AU1011" s="9"/>
      <c r="AV1011" s="9"/>
      <c r="AW1011" s="9"/>
      <c r="AX1011" s="9"/>
    </row>
    <row r="1012" spans="1:50" ht="15.75" customHeight="1" x14ac:dyDescent="0.2">
      <c r="A1012" s="9"/>
      <c r="B1012" s="9"/>
      <c r="C1012" s="9"/>
      <c r="D1012" s="9"/>
      <c r="E1012" s="9"/>
      <c r="F1012" s="9"/>
      <c r="G1012" s="9"/>
      <c r="H1012" s="9"/>
      <c r="I1012" s="9"/>
      <c r="J1012" s="9"/>
      <c r="K1012" s="9"/>
      <c r="L1012" s="9"/>
      <c r="M1012" s="9"/>
      <c r="N1012" s="9"/>
      <c r="O1012" s="212"/>
      <c r="P1012" s="9"/>
      <c r="Q1012" s="9"/>
      <c r="R1012" s="9"/>
      <c r="S1012" s="9"/>
      <c r="T1012" s="9"/>
      <c r="U1012" s="9"/>
      <c r="V1012" s="9"/>
      <c r="W1012" s="9"/>
      <c r="X1012" s="9"/>
      <c r="Y1012" s="9"/>
      <c r="Z1012" s="9"/>
      <c r="AA1012" s="212"/>
      <c r="AB1012" s="9"/>
      <c r="AC1012" s="9"/>
      <c r="AD1012" s="9"/>
      <c r="AE1012" s="9"/>
      <c r="AF1012" s="9"/>
      <c r="AG1012" s="9"/>
      <c r="AH1012" s="9"/>
      <c r="AI1012" s="9"/>
      <c r="AJ1012" s="9"/>
      <c r="AK1012" s="9"/>
      <c r="AL1012" s="9"/>
      <c r="AM1012" s="9"/>
      <c r="AN1012" s="9"/>
      <c r="AO1012" s="9"/>
      <c r="AP1012" s="9"/>
      <c r="AQ1012" s="9"/>
      <c r="AR1012" s="9"/>
      <c r="AS1012" s="9"/>
      <c r="AT1012" s="9"/>
      <c r="AU1012" s="9"/>
      <c r="AV1012" s="9"/>
      <c r="AW1012" s="9"/>
      <c r="AX1012" s="9"/>
    </row>
    <row r="1013" spans="1:50" ht="15.75" customHeight="1" x14ac:dyDescent="0.2">
      <c r="A1013" s="9"/>
      <c r="B1013" s="9"/>
      <c r="C1013" s="9"/>
      <c r="D1013" s="9"/>
      <c r="E1013" s="9"/>
      <c r="F1013" s="9"/>
      <c r="G1013" s="9"/>
      <c r="H1013" s="9"/>
      <c r="I1013" s="9"/>
      <c r="J1013" s="9"/>
      <c r="K1013" s="9"/>
      <c r="L1013" s="9"/>
      <c r="M1013" s="9"/>
      <c r="N1013" s="9"/>
      <c r="O1013" s="212"/>
      <c r="P1013" s="9"/>
      <c r="Q1013" s="9"/>
      <c r="R1013" s="9"/>
      <c r="S1013" s="9"/>
      <c r="T1013" s="9"/>
      <c r="U1013" s="9"/>
      <c r="V1013" s="9"/>
      <c r="W1013" s="9"/>
      <c r="X1013" s="9"/>
      <c r="Y1013" s="9"/>
      <c r="Z1013" s="9"/>
      <c r="AA1013" s="212"/>
      <c r="AB1013" s="9"/>
      <c r="AC1013" s="9"/>
      <c r="AD1013" s="9"/>
      <c r="AE1013" s="9"/>
      <c r="AF1013" s="9"/>
      <c r="AG1013" s="9"/>
      <c r="AH1013" s="9"/>
      <c r="AI1013" s="9"/>
      <c r="AJ1013" s="9"/>
      <c r="AK1013" s="9"/>
      <c r="AL1013" s="9"/>
      <c r="AM1013" s="9"/>
      <c r="AN1013" s="9"/>
      <c r="AO1013" s="9"/>
      <c r="AP1013" s="9"/>
      <c r="AQ1013" s="9"/>
      <c r="AR1013" s="9"/>
      <c r="AS1013" s="9"/>
      <c r="AT1013" s="9"/>
      <c r="AU1013" s="9"/>
      <c r="AV1013" s="9"/>
      <c r="AW1013" s="9"/>
      <c r="AX1013" s="9"/>
    </row>
    <row r="1014" spans="1:50" ht="15.75" customHeight="1" x14ac:dyDescent="0.2">
      <c r="A1014" s="9"/>
      <c r="B1014" s="9"/>
      <c r="C1014" s="9"/>
      <c r="D1014" s="9"/>
      <c r="E1014" s="9"/>
      <c r="F1014" s="9"/>
      <c r="G1014" s="9"/>
      <c r="H1014" s="9"/>
      <c r="I1014" s="9"/>
      <c r="J1014" s="9"/>
      <c r="K1014" s="9"/>
      <c r="L1014" s="9"/>
      <c r="M1014" s="9"/>
      <c r="N1014" s="9"/>
      <c r="O1014" s="212"/>
      <c r="P1014" s="9"/>
      <c r="Q1014" s="9"/>
      <c r="R1014" s="9"/>
      <c r="S1014" s="9"/>
      <c r="T1014" s="9"/>
      <c r="U1014" s="9"/>
      <c r="V1014" s="9"/>
      <c r="W1014" s="9"/>
      <c r="X1014" s="9"/>
      <c r="Y1014" s="9"/>
      <c r="Z1014" s="9"/>
      <c r="AA1014" s="212"/>
      <c r="AB1014" s="9"/>
      <c r="AC1014" s="9"/>
      <c r="AD1014" s="9"/>
      <c r="AE1014" s="9"/>
      <c r="AF1014" s="9"/>
      <c r="AG1014" s="9"/>
      <c r="AH1014" s="9"/>
      <c r="AI1014" s="9"/>
      <c r="AJ1014" s="9"/>
      <c r="AK1014" s="9"/>
      <c r="AL1014" s="9"/>
      <c r="AM1014" s="9"/>
      <c r="AN1014" s="9"/>
      <c r="AO1014" s="9"/>
      <c r="AP1014" s="9"/>
      <c r="AQ1014" s="9"/>
      <c r="AR1014" s="9"/>
      <c r="AS1014" s="9"/>
      <c r="AT1014" s="9"/>
      <c r="AU1014" s="9"/>
      <c r="AV1014" s="9"/>
      <c r="AW1014" s="9"/>
      <c r="AX1014" s="9"/>
    </row>
    <row r="1015" spans="1:50" ht="15.75" customHeight="1" x14ac:dyDescent="0.2">
      <c r="A1015" s="9"/>
      <c r="B1015" s="9"/>
      <c r="C1015" s="9"/>
      <c r="D1015" s="9"/>
      <c r="E1015" s="9"/>
      <c r="F1015" s="9"/>
      <c r="G1015" s="9"/>
      <c r="H1015" s="9"/>
      <c r="I1015" s="9"/>
      <c r="J1015" s="9"/>
      <c r="K1015" s="9"/>
      <c r="L1015" s="9"/>
      <c r="M1015" s="9"/>
      <c r="N1015" s="9"/>
      <c r="O1015" s="212"/>
      <c r="P1015" s="9"/>
      <c r="Q1015" s="9"/>
      <c r="R1015" s="9"/>
      <c r="S1015" s="9"/>
      <c r="T1015" s="9"/>
      <c r="U1015" s="9"/>
      <c r="V1015" s="9"/>
      <c r="W1015" s="9"/>
      <c r="X1015" s="9"/>
      <c r="Y1015" s="9"/>
      <c r="Z1015" s="9"/>
      <c r="AA1015" s="212"/>
      <c r="AB1015" s="9"/>
      <c r="AC1015" s="9"/>
      <c r="AD1015" s="9"/>
      <c r="AE1015" s="9"/>
      <c r="AF1015" s="9"/>
      <c r="AG1015" s="9"/>
      <c r="AH1015" s="9"/>
      <c r="AI1015" s="9"/>
      <c r="AJ1015" s="9"/>
      <c r="AK1015" s="9"/>
      <c r="AL1015" s="9"/>
      <c r="AM1015" s="9"/>
      <c r="AN1015" s="9"/>
      <c r="AO1015" s="9"/>
      <c r="AP1015" s="9"/>
      <c r="AQ1015" s="9"/>
      <c r="AR1015" s="9"/>
      <c r="AS1015" s="9"/>
      <c r="AT1015" s="9"/>
      <c r="AU1015" s="9"/>
      <c r="AV1015" s="9"/>
      <c r="AW1015" s="9"/>
      <c r="AX1015" s="9"/>
    </row>
    <row r="1016" spans="1:50" ht="15.75" customHeight="1" x14ac:dyDescent="0.2">
      <c r="A1016" s="9"/>
      <c r="B1016" s="9"/>
      <c r="C1016" s="9"/>
      <c r="D1016" s="9"/>
      <c r="E1016" s="9"/>
      <c r="F1016" s="9"/>
      <c r="G1016" s="9"/>
      <c r="H1016" s="9"/>
      <c r="I1016" s="9"/>
      <c r="J1016" s="9"/>
      <c r="K1016" s="9"/>
      <c r="L1016" s="9"/>
      <c r="M1016" s="9"/>
      <c r="N1016" s="9"/>
      <c r="O1016" s="212"/>
      <c r="P1016" s="9"/>
      <c r="Q1016" s="9"/>
      <c r="R1016" s="9"/>
      <c r="S1016" s="9"/>
      <c r="T1016" s="9"/>
      <c r="U1016" s="9"/>
      <c r="V1016" s="9"/>
      <c r="W1016" s="9"/>
      <c r="X1016" s="9"/>
      <c r="Y1016" s="9"/>
      <c r="Z1016" s="9"/>
      <c r="AA1016" s="212"/>
      <c r="AB1016" s="9"/>
      <c r="AC1016" s="9"/>
      <c r="AD1016" s="9"/>
      <c r="AE1016" s="9"/>
      <c r="AF1016" s="9"/>
      <c r="AG1016" s="9"/>
      <c r="AH1016" s="9"/>
      <c r="AI1016" s="9"/>
      <c r="AJ1016" s="9"/>
      <c r="AK1016" s="9"/>
      <c r="AL1016" s="9"/>
      <c r="AM1016" s="9"/>
      <c r="AN1016" s="9"/>
      <c r="AO1016" s="9"/>
      <c r="AP1016" s="9"/>
      <c r="AQ1016" s="9"/>
      <c r="AR1016" s="9"/>
      <c r="AS1016" s="9"/>
      <c r="AT1016" s="9"/>
      <c r="AU1016" s="9"/>
      <c r="AV1016" s="9"/>
      <c r="AW1016" s="9"/>
      <c r="AX1016" s="9"/>
    </row>
    <row r="1017" spans="1:50" ht="15.75" customHeight="1" x14ac:dyDescent="0.2">
      <c r="A1017" s="9"/>
      <c r="B1017" s="9"/>
      <c r="C1017" s="9"/>
      <c r="D1017" s="9"/>
      <c r="E1017" s="9"/>
      <c r="F1017" s="9"/>
      <c r="G1017" s="9"/>
      <c r="H1017" s="9"/>
      <c r="I1017" s="9"/>
      <c r="J1017" s="9"/>
      <c r="K1017" s="9"/>
      <c r="L1017" s="9"/>
      <c r="M1017" s="9"/>
      <c r="N1017" s="9"/>
      <c r="O1017" s="212"/>
      <c r="P1017" s="9"/>
      <c r="Q1017" s="9"/>
      <c r="R1017" s="9"/>
      <c r="S1017" s="9"/>
      <c r="T1017" s="9"/>
      <c r="U1017" s="9"/>
      <c r="V1017" s="9"/>
      <c r="W1017" s="9"/>
      <c r="X1017" s="9"/>
      <c r="Y1017" s="9"/>
      <c r="Z1017" s="9"/>
      <c r="AA1017" s="212"/>
      <c r="AB1017" s="9"/>
      <c r="AC1017" s="9"/>
      <c r="AD1017" s="9"/>
      <c r="AE1017" s="9"/>
      <c r="AF1017" s="9"/>
      <c r="AG1017" s="9"/>
      <c r="AH1017" s="9"/>
      <c r="AI1017" s="9"/>
      <c r="AJ1017" s="9"/>
      <c r="AK1017" s="9"/>
      <c r="AL1017" s="9"/>
      <c r="AM1017" s="9"/>
      <c r="AN1017" s="9"/>
      <c r="AO1017" s="9"/>
      <c r="AP1017" s="9"/>
      <c r="AQ1017" s="9"/>
      <c r="AR1017" s="9"/>
      <c r="AS1017" s="9"/>
      <c r="AT1017" s="9"/>
      <c r="AU1017" s="9"/>
      <c r="AV1017" s="9"/>
      <c r="AW1017" s="9"/>
      <c r="AX1017" s="9"/>
    </row>
    <row r="1018" spans="1:50" ht="15.75" customHeight="1" x14ac:dyDescent="0.2">
      <c r="A1018" s="9"/>
      <c r="B1018" s="9"/>
      <c r="C1018" s="9"/>
      <c r="D1018" s="9"/>
      <c r="E1018" s="9"/>
      <c r="F1018" s="9"/>
      <c r="G1018" s="9"/>
      <c r="H1018" s="9"/>
      <c r="I1018" s="9"/>
      <c r="J1018" s="9"/>
      <c r="K1018" s="9"/>
      <c r="L1018" s="9"/>
      <c r="M1018" s="9"/>
      <c r="N1018" s="9"/>
      <c r="O1018" s="212"/>
      <c r="P1018" s="9"/>
      <c r="Q1018" s="9"/>
      <c r="R1018" s="9"/>
      <c r="S1018" s="9"/>
      <c r="T1018" s="9"/>
      <c r="U1018" s="9"/>
      <c r="V1018" s="9"/>
      <c r="W1018" s="9"/>
      <c r="X1018" s="9"/>
      <c r="Y1018" s="9"/>
      <c r="Z1018" s="9"/>
      <c r="AA1018" s="212"/>
      <c r="AB1018" s="9"/>
      <c r="AC1018" s="9"/>
      <c r="AD1018" s="9"/>
      <c r="AE1018" s="9"/>
      <c r="AF1018" s="9"/>
      <c r="AG1018" s="9"/>
      <c r="AH1018" s="9"/>
      <c r="AI1018" s="9"/>
      <c r="AJ1018" s="9"/>
      <c r="AK1018" s="9"/>
      <c r="AL1018" s="9"/>
      <c r="AM1018" s="9"/>
      <c r="AN1018" s="9"/>
      <c r="AO1018" s="9"/>
      <c r="AP1018" s="9"/>
      <c r="AQ1018" s="9"/>
      <c r="AR1018" s="9"/>
      <c r="AS1018" s="9"/>
      <c r="AT1018" s="9"/>
      <c r="AU1018" s="9"/>
      <c r="AV1018" s="9"/>
      <c r="AW1018" s="9"/>
      <c r="AX1018" s="9"/>
    </row>
    <row r="1019" spans="1:50" ht="15.75" customHeight="1" x14ac:dyDescent="0.2">
      <c r="A1019" s="9"/>
      <c r="B1019" s="9"/>
      <c r="C1019" s="9"/>
      <c r="D1019" s="9"/>
      <c r="E1019" s="9"/>
      <c r="F1019" s="9"/>
      <c r="G1019" s="9"/>
      <c r="H1019" s="9"/>
      <c r="I1019" s="9"/>
      <c r="J1019" s="9"/>
      <c r="K1019" s="9"/>
      <c r="L1019" s="9"/>
      <c r="M1019" s="9"/>
      <c r="N1019" s="9"/>
      <c r="O1019" s="212"/>
      <c r="P1019" s="9"/>
      <c r="Q1019" s="9"/>
      <c r="R1019" s="9"/>
      <c r="S1019" s="9"/>
      <c r="T1019" s="9"/>
      <c r="U1019" s="9"/>
      <c r="V1019" s="9"/>
      <c r="W1019" s="9"/>
      <c r="X1019" s="9"/>
      <c r="Y1019" s="9"/>
      <c r="Z1019" s="9"/>
      <c r="AA1019" s="212"/>
      <c r="AB1019" s="9"/>
      <c r="AC1019" s="9"/>
      <c r="AD1019" s="9"/>
      <c r="AE1019" s="9"/>
      <c r="AF1019" s="9"/>
      <c r="AG1019" s="9"/>
      <c r="AH1019" s="9"/>
      <c r="AI1019" s="9"/>
      <c r="AJ1019" s="9"/>
      <c r="AK1019" s="9"/>
      <c r="AL1019" s="9"/>
      <c r="AM1019" s="9"/>
      <c r="AN1019" s="9"/>
      <c r="AO1019" s="9"/>
      <c r="AP1019" s="9"/>
      <c r="AQ1019" s="9"/>
      <c r="AR1019" s="9"/>
      <c r="AS1019" s="9"/>
      <c r="AT1019" s="9"/>
      <c r="AU1019" s="9"/>
      <c r="AV1019" s="9"/>
      <c r="AW1019" s="9"/>
      <c r="AX1019" s="9"/>
    </row>
    <row r="1020" spans="1:50" ht="15.75" customHeight="1" x14ac:dyDescent="0.2">
      <c r="A1020" s="9"/>
      <c r="B1020" s="9"/>
      <c r="C1020" s="9"/>
      <c r="D1020" s="9"/>
      <c r="E1020" s="9"/>
      <c r="F1020" s="9"/>
      <c r="G1020" s="9"/>
      <c r="H1020" s="9"/>
      <c r="I1020" s="9"/>
      <c r="J1020" s="9"/>
      <c r="K1020" s="9"/>
      <c r="L1020" s="9"/>
      <c r="M1020" s="9"/>
      <c r="N1020" s="9"/>
      <c r="O1020" s="212"/>
      <c r="P1020" s="9"/>
      <c r="Q1020" s="9"/>
      <c r="R1020" s="9"/>
      <c r="S1020" s="9"/>
      <c r="T1020" s="9"/>
      <c r="U1020" s="9"/>
      <c r="V1020" s="9"/>
      <c r="W1020" s="9"/>
      <c r="X1020" s="9"/>
      <c r="Y1020" s="9"/>
      <c r="Z1020" s="9"/>
      <c r="AA1020" s="212"/>
      <c r="AB1020" s="9"/>
      <c r="AC1020" s="9"/>
      <c r="AD1020" s="9"/>
      <c r="AE1020" s="9"/>
      <c r="AF1020" s="9"/>
      <c r="AG1020" s="9"/>
      <c r="AH1020" s="9"/>
      <c r="AI1020" s="9"/>
      <c r="AJ1020" s="9"/>
      <c r="AK1020" s="9"/>
      <c r="AL1020" s="9"/>
      <c r="AM1020" s="9"/>
      <c r="AN1020" s="9"/>
      <c r="AO1020" s="9"/>
      <c r="AP1020" s="9"/>
      <c r="AQ1020" s="9"/>
      <c r="AR1020" s="9"/>
      <c r="AS1020" s="9"/>
      <c r="AT1020" s="9"/>
      <c r="AU1020" s="9"/>
      <c r="AV1020" s="9"/>
      <c r="AW1020" s="9"/>
      <c r="AX1020" s="9"/>
    </row>
    <row r="1021" spans="1:50" ht="15.75" customHeight="1" x14ac:dyDescent="0.2">
      <c r="A1021" s="9"/>
      <c r="B1021" s="9"/>
      <c r="C1021" s="9"/>
      <c r="D1021" s="9"/>
      <c r="E1021" s="9"/>
      <c r="F1021" s="9"/>
      <c r="G1021" s="9"/>
      <c r="H1021" s="9"/>
      <c r="I1021" s="9"/>
      <c r="J1021" s="9"/>
      <c r="K1021" s="9"/>
      <c r="L1021" s="9"/>
      <c r="M1021" s="9"/>
      <c r="N1021" s="9"/>
      <c r="O1021" s="212"/>
      <c r="P1021" s="9"/>
      <c r="Q1021" s="9"/>
      <c r="R1021" s="9"/>
      <c r="S1021" s="9"/>
      <c r="T1021" s="9"/>
      <c r="U1021" s="9"/>
      <c r="V1021" s="9"/>
      <c r="W1021" s="9"/>
      <c r="X1021" s="9"/>
      <c r="Y1021" s="9"/>
      <c r="Z1021" s="9"/>
      <c r="AA1021" s="212"/>
      <c r="AB1021" s="9"/>
      <c r="AC1021" s="9"/>
      <c r="AD1021" s="9"/>
      <c r="AE1021" s="9"/>
      <c r="AF1021" s="9"/>
      <c r="AG1021" s="9"/>
      <c r="AH1021" s="9"/>
      <c r="AI1021" s="9"/>
      <c r="AJ1021" s="9"/>
      <c r="AK1021" s="9"/>
      <c r="AL1021" s="9"/>
      <c r="AM1021" s="9"/>
      <c r="AN1021" s="9"/>
      <c r="AO1021" s="9"/>
      <c r="AP1021" s="9"/>
      <c r="AQ1021" s="9"/>
      <c r="AR1021" s="9"/>
      <c r="AS1021" s="9"/>
      <c r="AT1021" s="9"/>
      <c r="AU1021" s="9"/>
      <c r="AV1021" s="9"/>
      <c r="AW1021" s="9"/>
      <c r="AX1021" s="9"/>
    </row>
    <row r="1022" spans="1:50" ht="15.75" customHeight="1" x14ac:dyDescent="0.2">
      <c r="A1022" s="9"/>
      <c r="B1022" s="9"/>
      <c r="C1022" s="9"/>
      <c r="D1022" s="9"/>
      <c r="E1022" s="9"/>
      <c r="F1022" s="9"/>
      <c r="G1022" s="9"/>
      <c r="H1022" s="9"/>
      <c r="I1022" s="9"/>
      <c r="J1022" s="9"/>
      <c r="K1022" s="9"/>
      <c r="L1022" s="9"/>
      <c r="M1022" s="9"/>
      <c r="N1022" s="9"/>
      <c r="O1022" s="212"/>
      <c r="P1022" s="9"/>
      <c r="Q1022" s="9"/>
      <c r="R1022" s="9"/>
      <c r="S1022" s="9"/>
      <c r="T1022" s="9"/>
      <c r="U1022" s="9"/>
      <c r="V1022" s="9"/>
      <c r="W1022" s="9"/>
      <c r="X1022" s="9"/>
      <c r="Y1022" s="9"/>
      <c r="Z1022" s="9"/>
      <c r="AA1022" s="212"/>
      <c r="AB1022" s="9"/>
      <c r="AC1022" s="9"/>
      <c r="AD1022" s="9"/>
      <c r="AE1022" s="9"/>
      <c r="AF1022" s="9"/>
      <c r="AG1022" s="9"/>
      <c r="AH1022" s="9"/>
      <c r="AI1022" s="9"/>
      <c r="AJ1022" s="9"/>
      <c r="AK1022" s="9"/>
      <c r="AL1022" s="9"/>
      <c r="AM1022" s="9"/>
      <c r="AN1022" s="9"/>
      <c r="AO1022" s="9"/>
      <c r="AP1022" s="9"/>
      <c r="AQ1022" s="9"/>
      <c r="AR1022" s="9"/>
      <c r="AS1022" s="9"/>
      <c r="AT1022" s="9"/>
      <c r="AU1022" s="9"/>
      <c r="AV1022" s="9"/>
      <c r="AW1022" s="9"/>
      <c r="AX1022" s="9"/>
    </row>
    <row r="1023" spans="1:50" ht="15.75" customHeight="1" x14ac:dyDescent="0.2">
      <c r="A1023" s="9"/>
      <c r="B1023" s="9"/>
      <c r="C1023" s="9"/>
      <c r="D1023" s="9"/>
      <c r="E1023" s="9"/>
      <c r="F1023" s="9"/>
      <c r="G1023" s="9"/>
      <c r="H1023" s="9"/>
      <c r="I1023" s="9"/>
      <c r="J1023" s="9"/>
      <c r="K1023" s="9"/>
      <c r="L1023" s="9"/>
      <c r="M1023" s="9"/>
      <c r="N1023" s="9"/>
      <c r="O1023" s="212"/>
      <c r="P1023" s="9"/>
      <c r="Q1023" s="9"/>
      <c r="R1023" s="9"/>
      <c r="S1023" s="9"/>
      <c r="T1023" s="9"/>
      <c r="U1023" s="9"/>
      <c r="V1023" s="9"/>
      <c r="W1023" s="9"/>
      <c r="X1023" s="9"/>
      <c r="Y1023" s="9"/>
      <c r="Z1023" s="9"/>
      <c r="AA1023" s="212"/>
      <c r="AB1023" s="9"/>
      <c r="AC1023" s="9"/>
      <c r="AD1023" s="9"/>
      <c r="AE1023" s="9"/>
      <c r="AF1023" s="9"/>
      <c r="AG1023" s="9"/>
      <c r="AH1023" s="9"/>
      <c r="AI1023" s="9"/>
      <c r="AJ1023" s="9"/>
      <c r="AK1023" s="9"/>
      <c r="AL1023" s="9"/>
      <c r="AM1023" s="9"/>
      <c r="AN1023" s="9"/>
      <c r="AO1023" s="9"/>
      <c r="AP1023" s="9"/>
      <c r="AQ1023" s="9"/>
      <c r="AR1023" s="9"/>
      <c r="AS1023" s="9"/>
      <c r="AT1023" s="9"/>
      <c r="AU1023" s="9"/>
      <c r="AV1023" s="9"/>
      <c r="AW1023" s="9"/>
      <c r="AX1023" s="9"/>
    </row>
    <row r="1024" spans="1:50" ht="15.75" customHeight="1" x14ac:dyDescent="0.2">
      <c r="A1024" s="9"/>
      <c r="B1024" s="9"/>
      <c r="C1024" s="9"/>
      <c r="D1024" s="9"/>
      <c r="E1024" s="9"/>
      <c r="F1024" s="9"/>
      <c r="G1024" s="9"/>
      <c r="H1024" s="9"/>
      <c r="I1024" s="9"/>
      <c r="J1024" s="9"/>
      <c r="K1024" s="9"/>
      <c r="L1024" s="9"/>
      <c r="M1024" s="9"/>
      <c r="N1024" s="9"/>
      <c r="O1024" s="212"/>
      <c r="P1024" s="9"/>
      <c r="Q1024" s="9"/>
      <c r="R1024" s="9"/>
      <c r="S1024" s="9"/>
      <c r="T1024" s="9"/>
      <c r="U1024" s="9"/>
      <c r="V1024" s="9"/>
      <c r="W1024" s="9"/>
      <c r="X1024" s="9"/>
      <c r="Y1024" s="9"/>
      <c r="Z1024" s="9"/>
      <c r="AA1024" s="212"/>
      <c r="AB1024" s="9"/>
      <c r="AC1024" s="9"/>
      <c r="AD1024" s="9"/>
      <c r="AE1024" s="9"/>
      <c r="AF1024" s="9"/>
      <c r="AG1024" s="9"/>
      <c r="AH1024" s="9"/>
      <c r="AI1024" s="9"/>
      <c r="AJ1024" s="9"/>
      <c r="AK1024" s="9"/>
      <c r="AL1024" s="9"/>
      <c r="AM1024" s="9"/>
      <c r="AN1024" s="9"/>
      <c r="AO1024" s="9"/>
      <c r="AP1024" s="9"/>
      <c r="AQ1024" s="9"/>
      <c r="AR1024" s="9"/>
      <c r="AS1024" s="9"/>
      <c r="AT1024" s="9"/>
      <c r="AU1024" s="9"/>
      <c r="AV1024" s="9"/>
      <c r="AW1024" s="9"/>
      <c r="AX1024" s="9"/>
    </row>
    <row r="1025" spans="1:50" ht="15.75" customHeight="1" x14ac:dyDescent="0.2">
      <c r="A1025" s="9"/>
      <c r="B1025" s="9"/>
      <c r="C1025" s="9"/>
      <c r="D1025" s="9"/>
      <c r="E1025" s="9"/>
      <c r="F1025" s="9"/>
      <c r="G1025" s="9"/>
      <c r="H1025" s="9"/>
      <c r="I1025" s="9"/>
      <c r="J1025" s="9"/>
      <c r="K1025" s="9"/>
      <c r="L1025" s="9"/>
      <c r="M1025" s="9"/>
      <c r="N1025" s="9"/>
      <c r="O1025" s="212"/>
      <c r="P1025" s="9"/>
      <c r="Q1025" s="9"/>
      <c r="R1025" s="9"/>
      <c r="S1025" s="9"/>
      <c r="T1025" s="9"/>
      <c r="U1025" s="9"/>
      <c r="V1025" s="9"/>
      <c r="W1025" s="9"/>
      <c r="X1025" s="9"/>
      <c r="Y1025" s="9"/>
      <c r="Z1025" s="9"/>
      <c r="AA1025" s="212"/>
      <c r="AB1025" s="9"/>
      <c r="AC1025" s="9"/>
      <c r="AD1025" s="9"/>
      <c r="AE1025" s="9"/>
      <c r="AF1025" s="9"/>
      <c r="AG1025" s="9"/>
      <c r="AH1025" s="9"/>
      <c r="AI1025" s="9"/>
      <c r="AJ1025" s="9"/>
      <c r="AK1025" s="9"/>
      <c r="AL1025" s="9"/>
      <c r="AM1025" s="9"/>
      <c r="AN1025" s="9"/>
      <c r="AO1025" s="9"/>
      <c r="AP1025" s="9"/>
      <c r="AQ1025" s="9"/>
      <c r="AR1025" s="9"/>
      <c r="AS1025" s="9"/>
      <c r="AT1025" s="9"/>
      <c r="AU1025" s="9"/>
      <c r="AV1025" s="9"/>
      <c r="AW1025" s="9"/>
      <c r="AX1025" s="9"/>
    </row>
    <row r="1026" spans="1:50" ht="15.75" customHeight="1" x14ac:dyDescent="0.2">
      <c r="A1026" s="9"/>
      <c r="B1026" s="9"/>
      <c r="C1026" s="9"/>
      <c r="D1026" s="9"/>
      <c r="E1026" s="9"/>
      <c r="F1026" s="9"/>
      <c r="G1026" s="9"/>
      <c r="H1026" s="9"/>
      <c r="I1026" s="9"/>
      <c r="J1026" s="9"/>
      <c r="K1026" s="9"/>
      <c r="L1026" s="9"/>
      <c r="M1026" s="9"/>
      <c r="N1026" s="9"/>
      <c r="O1026" s="212"/>
      <c r="P1026" s="9"/>
      <c r="Q1026" s="9"/>
      <c r="R1026" s="9"/>
      <c r="S1026" s="9"/>
      <c r="T1026" s="9"/>
      <c r="U1026" s="9"/>
      <c r="V1026" s="9"/>
      <c r="W1026" s="9"/>
      <c r="X1026" s="9"/>
      <c r="Y1026" s="9"/>
      <c r="Z1026" s="9"/>
      <c r="AA1026" s="212"/>
      <c r="AB1026" s="9"/>
      <c r="AC1026" s="9"/>
      <c r="AD1026" s="9"/>
      <c r="AE1026" s="9"/>
      <c r="AF1026" s="9"/>
      <c r="AG1026" s="9"/>
      <c r="AH1026" s="9"/>
      <c r="AI1026" s="9"/>
      <c r="AJ1026" s="9"/>
      <c r="AK1026" s="9"/>
      <c r="AL1026" s="9"/>
      <c r="AM1026" s="9"/>
      <c r="AN1026" s="9"/>
      <c r="AO1026" s="9"/>
      <c r="AP1026" s="9"/>
      <c r="AQ1026" s="9"/>
      <c r="AR1026" s="9"/>
      <c r="AS1026" s="9"/>
      <c r="AT1026" s="9"/>
      <c r="AU1026" s="9"/>
      <c r="AV1026" s="9"/>
      <c r="AW1026" s="9"/>
      <c r="AX1026" s="9"/>
    </row>
    <row r="1027" spans="1:50" ht="15.75" customHeight="1" x14ac:dyDescent="0.2">
      <c r="A1027" s="9"/>
      <c r="B1027" s="9"/>
      <c r="C1027" s="9"/>
      <c r="D1027" s="9"/>
      <c r="E1027" s="9"/>
      <c r="F1027" s="9"/>
      <c r="G1027" s="9"/>
      <c r="H1027" s="9"/>
      <c r="I1027" s="9"/>
      <c r="J1027" s="9"/>
      <c r="K1027" s="9"/>
      <c r="L1027" s="9"/>
      <c r="M1027" s="9"/>
      <c r="N1027" s="9"/>
      <c r="O1027" s="212"/>
      <c r="P1027" s="9"/>
      <c r="Q1027" s="9"/>
      <c r="R1027" s="9"/>
      <c r="S1027" s="9"/>
      <c r="T1027" s="9"/>
      <c r="U1027" s="9"/>
      <c r="V1027" s="9"/>
      <c r="W1027" s="9"/>
      <c r="X1027" s="9"/>
      <c r="Y1027" s="9"/>
      <c r="Z1027" s="9"/>
      <c r="AA1027" s="212"/>
      <c r="AB1027" s="9"/>
      <c r="AC1027" s="9"/>
      <c r="AD1027" s="9"/>
      <c r="AE1027" s="9"/>
      <c r="AF1027" s="9"/>
      <c r="AG1027" s="9"/>
      <c r="AH1027" s="9"/>
      <c r="AI1027" s="9"/>
      <c r="AJ1027" s="9"/>
      <c r="AK1027" s="9"/>
      <c r="AL1027" s="9"/>
      <c r="AM1027" s="9"/>
      <c r="AN1027" s="9"/>
      <c r="AO1027" s="9"/>
      <c r="AP1027" s="9"/>
      <c r="AQ1027" s="9"/>
      <c r="AR1027" s="9"/>
      <c r="AS1027" s="9"/>
      <c r="AT1027" s="9"/>
      <c r="AU1027" s="9"/>
      <c r="AV1027" s="9"/>
      <c r="AW1027" s="9"/>
      <c r="AX1027" s="9"/>
    </row>
    <row r="1028" spans="1:50" ht="15.75" customHeight="1" x14ac:dyDescent="0.2">
      <c r="A1028" s="9"/>
      <c r="B1028" s="9"/>
      <c r="C1028" s="9"/>
      <c r="D1028" s="9"/>
      <c r="E1028" s="9"/>
      <c r="F1028" s="9"/>
      <c r="G1028" s="9"/>
      <c r="H1028" s="9"/>
      <c r="I1028" s="9"/>
      <c r="J1028" s="9"/>
      <c r="K1028" s="9"/>
      <c r="L1028" s="9"/>
      <c r="M1028" s="9"/>
      <c r="N1028" s="9"/>
      <c r="O1028" s="212"/>
      <c r="P1028" s="9"/>
      <c r="Q1028" s="9"/>
      <c r="R1028" s="9"/>
      <c r="S1028" s="9"/>
      <c r="T1028" s="9"/>
      <c r="U1028" s="9"/>
      <c r="V1028" s="9"/>
      <c r="W1028" s="9"/>
      <c r="X1028" s="9"/>
      <c r="Y1028" s="9"/>
      <c r="Z1028" s="9"/>
      <c r="AA1028" s="212"/>
      <c r="AB1028" s="9"/>
      <c r="AC1028" s="9"/>
      <c r="AD1028" s="9"/>
      <c r="AE1028" s="9"/>
      <c r="AF1028" s="9"/>
      <c r="AG1028" s="9"/>
      <c r="AH1028" s="9"/>
      <c r="AI1028" s="9"/>
      <c r="AJ1028" s="9"/>
      <c r="AK1028" s="9"/>
      <c r="AL1028" s="9"/>
      <c r="AM1028" s="9"/>
      <c r="AN1028" s="9"/>
      <c r="AO1028" s="9"/>
      <c r="AP1028" s="9"/>
      <c r="AQ1028" s="9"/>
      <c r="AR1028" s="9"/>
      <c r="AS1028" s="9"/>
      <c r="AT1028" s="9"/>
      <c r="AU1028" s="9"/>
      <c r="AV1028" s="9"/>
      <c r="AW1028" s="9"/>
      <c r="AX1028" s="9"/>
    </row>
    <row r="1029" spans="1:50" ht="15.75" customHeight="1" x14ac:dyDescent="0.2">
      <c r="A1029" s="9"/>
      <c r="B1029" s="9"/>
      <c r="C1029" s="9"/>
      <c r="D1029" s="9"/>
      <c r="E1029" s="9"/>
      <c r="F1029" s="9"/>
      <c r="G1029" s="9"/>
      <c r="H1029" s="9"/>
      <c r="I1029" s="9"/>
      <c r="J1029" s="9"/>
      <c r="K1029" s="9"/>
      <c r="L1029" s="9"/>
      <c r="M1029" s="9"/>
      <c r="N1029" s="9"/>
      <c r="O1029" s="212"/>
      <c r="P1029" s="9"/>
      <c r="Q1029" s="9"/>
      <c r="R1029" s="9"/>
      <c r="S1029" s="9"/>
      <c r="T1029" s="9"/>
      <c r="U1029" s="9"/>
      <c r="V1029" s="9"/>
      <c r="W1029" s="9"/>
      <c r="X1029" s="9"/>
      <c r="Y1029" s="9"/>
      <c r="Z1029" s="9"/>
      <c r="AA1029" s="212"/>
      <c r="AB1029" s="9"/>
      <c r="AC1029" s="9"/>
      <c r="AD1029" s="9"/>
      <c r="AE1029" s="9"/>
      <c r="AF1029" s="9"/>
      <c r="AG1029" s="9"/>
      <c r="AH1029" s="9"/>
      <c r="AI1029" s="9"/>
      <c r="AJ1029" s="9"/>
      <c r="AK1029" s="9"/>
      <c r="AL1029" s="9"/>
      <c r="AM1029" s="9"/>
      <c r="AN1029" s="9"/>
      <c r="AO1029" s="9"/>
      <c r="AP1029" s="9"/>
      <c r="AQ1029" s="9"/>
      <c r="AR1029" s="9"/>
      <c r="AS1029" s="9"/>
      <c r="AT1029" s="9"/>
      <c r="AU1029" s="9"/>
      <c r="AV1029" s="9"/>
      <c r="AW1029" s="9"/>
      <c r="AX1029" s="9"/>
    </row>
    <row r="1030" spans="1:50" ht="15.75" customHeight="1" x14ac:dyDescent="0.2">
      <c r="A1030" s="9"/>
      <c r="B1030" s="9"/>
      <c r="C1030" s="9"/>
      <c r="D1030" s="9"/>
      <c r="E1030" s="9"/>
      <c r="F1030" s="9"/>
      <c r="G1030" s="9"/>
      <c r="H1030" s="9"/>
      <c r="I1030" s="9"/>
      <c r="J1030" s="9"/>
      <c r="K1030" s="9"/>
      <c r="L1030" s="9"/>
      <c r="M1030" s="9"/>
      <c r="N1030" s="9"/>
      <c r="O1030" s="212"/>
      <c r="P1030" s="9"/>
      <c r="Q1030" s="9"/>
      <c r="R1030" s="9"/>
      <c r="S1030" s="9"/>
      <c r="T1030" s="9"/>
      <c r="U1030" s="9"/>
      <c r="V1030" s="9"/>
      <c r="W1030" s="9"/>
      <c r="X1030" s="9"/>
      <c r="Y1030" s="9"/>
      <c r="Z1030" s="9"/>
      <c r="AA1030" s="212"/>
      <c r="AB1030" s="9"/>
      <c r="AC1030" s="9"/>
      <c r="AD1030" s="9"/>
      <c r="AE1030" s="9"/>
      <c r="AF1030" s="9"/>
      <c r="AG1030" s="9"/>
      <c r="AH1030" s="9"/>
      <c r="AI1030" s="9"/>
      <c r="AJ1030" s="9"/>
      <c r="AK1030" s="9"/>
      <c r="AL1030" s="9"/>
      <c r="AM1030" s="9"/>
      <c r="AN1030" s="9"/>
      <c r="AO1030" s="9"/>
      <c r="AP1030" s="9"/>
      <c r="AQ1030" s="9"/>
      <c r="AR1030" s="9"/>
      <c r="AS1030" s="9"/>
      <c r="AT1030" s="9"/>
      <c r="AU1030" s="9"/>
      <c r="AV1030" s="9"/>
      <c r="AW1030" s="9"/>
      <c r="AX1030" s="9"/>
    </row>
    <row r="1031" spans="1:50" ht="15.75" customHeight="1" x14ac:dyDescent="0.2">
      <c r="A1031" s="9"/>
      <c r="B1031" s="9"/>
      <c r="C1031" s="9"/>
      <c r="D1031" s="9"/>
      <c r="E1031" s="9"/>
      <c r="F1031" s="9"/>
      <c r="G1031" s="9"/>
      <c r="H1031" s="9"/>
      <c r="I1031" s="9"/>
      <c r="J1031" s="9"/>
      <c r="K1031" s="9"/>
      <c r="L1031" s="9"/>
      <c r="M1031" s="9"/>
      <c r="N1031" s="9"/>
      <c r="O1031" s="212"/>
      <c r="P1031" s="9"/>
      <c r="Q1031" s="9"/>
      <c r="R1031" s="9"/>
      <c r="S1031" s="9"/>
      <c r="T1031" s="9"/>
      <c r="U1031" s="9"/>
      <c r="V1031" s="9"/>
      <c r="W1031" s="9"/>
      <c r="X1031" s="9"/>
      <c r="Y1031" s="9"/>
      <c r="Z1031" s="9"/>
      <c r="AA1031" s="212"/>
      <c r="AB1031" s="9"/>
      <c r="AC1031" s="9"/>
      <c r="AD1031" s="9"/>
      <c r="AE1031" s="9"/>
      <c r="AF1031" s="9"/>
      <c r="AG1031" s="9"/>
      <c r="AH1031" s="9"/>
      <c r="AI1031" s="9"/>
      <c r="AJ1031" s="9"/>
      <c r="AK1031" s="9"/>
      <c r="AL1031" s="9"/>
      <c r="AM1031" s="9"/>
      <c r="AN1031" s="9"/>
      <c r="AO1031" s="9"/>
      <c r="AP1031" s="9"/>
      <c r="AQ1031" s="9"/>
      <c r="AR1031" s="9"/>
      <c r="AS1031" s="9"/>
      <c r="AT1031" s="9"/>
      <c r="AU1031" s="9"/>
      <c r="AV1031" s="9"/>
      <c r="AW1031" s="9"/>
      <c r="AX1031" s="9"/>
    </row>
    <row r="1032" spans="1:50" ht="15.75" customHeight="1" x14ac:dyDescent="0.2">
      <c r="A1032" s="9"/>
      <c r="B1032" s="9"/>
      <c r="C1032" s="9"/>
      <c r="D1032" s="9"/>
      <c r="E1032" s="9"/>
      <c r="F1032" s="9"/>
      <c r="G1032" s="9"/>
      <c r="H1032" s="9"/>
      <c r="I1032" s="9"/>
      <c r="J1032" s="9"/>
      <c r="K1032" s="9"/>
      <c r="L1032" s="9"/>
      <c r="M1032" s="9"/>
      <c r="N1032" s="9"/>
      <c r="O1032" s="212"/>
      <c r="P1032" s="9"/>
      <c r="Q1032" s="9"/>
      <c r="R1032" s="9"/>
      <c r="S1032" s="9"/>
      <c r="T1032" s="9"/>
      <c r="U1032" s="9"/>
      <c r="V1032" s="9"/>
      <c r="W1032" s="9"/>
      <c r="X1032" s="9"/>
      <c r="Y1032" s="9"/>
      <c r="Z1032" s="9"/>
      <c r="AA1032" s="212"/>
      <c r="AB1032" s="9"/>
      <c r="AC1032" s="9"/>
      <c r="AD1032" s="9"/>
      <c r="AE1032" s="9"/>
      <c r="AF1032" s="9"/>
      <c r="AG1032" s="9"/>
      <c r="AH1032" s="9"/>
      <c r="AI1032" s="9"/>
      <c r="AJ1032" s="9"/>
      <c r="AK1032" s="9"/>
      <c r="AL1032" s="9"/>
      <c r="AM1032" s="9"/>
      <c r="AN1032" s="9"/>
      <c r="AO1032" s="9"/>
      <c r="AP1032" s="9"/>
      <c r="AQ1032" s="9"/>
      <c r="AR1032" s="9"/>
      <c r="AS1032" s="9"/>
      <c r="AT1032" s="9"/>
      <c r="AU1032" s="9"/>
      <c r="AV1032" s="9"/>
      <c r="AW1032" s="9"/>
      <c r="AX1032" s="9"/>
    </row>
    <row r="1033" spans="1:50" ht="15.75" customHeight="1" x14ac:dyDescent="0.2">
      <c r="A1033" s="9"/>
      <c r="B1033" s="9"/>
      <c r="C1033" s="9"/>
      <c r="D1033" s="9"/>
      <c r="E1033" s="9"/>
      <c r="F1033" s="9"/>
      <c r="G1033" s="9"/>
      <c r="H1033" s="9"/>
      <c r="I1033" s="9"/>
      <c r="J1033" s="9"/>
      <c r="K1033" s="9"/>
      <c r="L1033" s="9"/>
      <c r="M1033" s="9"/>
      <c r="N1033" s="9"/>
      <c r="O1033" s="212"/>
      <c r="P1033" s="9"/>
      <c r="Q1033" s="9"/>
      <c r="R1033" s="9"/>
      <c r="S1033" s="9"/>
      <c r="T1033" s="9"/>
      <c r="U1033" s="9"/>
      <c r="V1033" s="9"/>
      <c r="W1033" s="9"/>
      <c r="X1033" s="9"/>
      <c r="Y1033" s="9"/>
      <c r="Z1033" s="9"/>
      <c r="AA1033" s="212"/>
      <c r="AB1033" s="9"/>
      <c r="AC1033" s="9"/>
      <c r="AD1033" s="9"/>
      <c r="AE1033" s="9"/>
      <c r="AF1033" s="9"/>
      <c r="AG1033" s="9"/>
      <c r="AH1033" s="9"/>
      <c r="AI1033" s="9"/>
      <c r="AJ1033" s="9"/>
      <c r="AK1033" s="9"/>
      <c r="AL1033" s="9"/>
      <c r="AM1033" s="9"/>
      <c r="AN1033" s="9"/>
      <c r="AO1033" s="9"/>
      <c r="AP1033" s="9"/>
      <c r="AQ1033" s="9"/>
      <c r="AR1033" s="9"/>
      <c r="AS1033" s="9"/>
      <c r="AT1033" s="9"/>
      <c r="AU1033" s="9"/>
      <c r="AV1033" s="9"/>
      <c r="AW1033" s="9"/>
      <c r="AX1033" s="9"/>
    </row>
    <row r="1034" spans="1:50" ht="15.75" customHeight="1" x14ac:dyDescent="0.2">
      <c r="A1034" s="9"/>
      <c r="B1034" s="9"/>
      <c r="C1034" s="9"/>
      <c r="D1034" s="9"/>
      <c r="E1034" s="9"/>
      <c r="F1034" s="9"/>
      <c r="G1034" s="9"/>
      <c r="H1034" s="9"/>
      <c r="I1034" s="9"/>
      <c r="J1034" s="9"/>
      <c r="K1034" s="9"/>
      <c r="L1034" s="9"/>
      <c r="M1034" s="9"/>
      <c r="N1034" s="9"/>
      <c r="O1034" s="212"/>
      <c r="P1034" s="9"/>
      <c r="Q1034" s="9"/>
      <c r="R1034" s="9"/>
      <c r="S1034" s="9"/>
      <c r="T1034" s="9"/>
      <c r="U1034" s="9"/>
      <c r="V1034" s="9"/>
      <c r="W1034" s="9"/>
      <c r="X1034" s="9"/>
      <c r="Y1034" s="9"/>
      <c r="Z1034" s="9"/>
      <c r="AA1034" s="212"/>
      <c r="AB1034" s="9"/>
      <c r="AC1034" s="9"/>
      <c r="AD1034" s="9"/>
      <c r="AE1034" s="9"/>
      <c r="AF1034" s="9"/>
      <c r="AG1034" s="9"/>
      <c r="AH1034" s="9"/>
      <c r="AI1034" s="9"/>
      <c r="AJ1034" s="9"/>
      <c r="AK1034" s="9"/>
      <c r="AL1034" s="9"/>
      <c r="AM1034" s="9"/>
      <c r="AN1034" s="9"/>
      <c r="AO1034" s="9"/>
      <c r="AP1034" s="9"/>
      <c r="AQ1034" s="9"/>
      <c r="AR1034" s="9"/>
      <c r="AS1034" s="9"/>
      <c r="AT1034" s="9"/>
      <c r="AU1034" s="9"/>
      <c r="AV1034" s="9"/>
      <c r="AW1034" s="9"/>
      <c r="AX1034" s="9"/>
    </row>
    <row r="1035" spans="1:50" ht="15.75" customHeight="1" x14ac:dyDescent="0.2">
      <c r="A1035" s="9"/>
      <c r="B1035" s="9"/>
      <c r="C1035" s="9"/>
      <c r="D1035" s="9"/>
      <c r="E1035" s="9"/>
      <c r="F1035" s="9"/>
      <c r="G1035" s="9"/>
      <c r="H1035" s="9"/>
      <c r="I1035" s="9"/>
      <c r="J1035" s="9"/>
      <c r="K1035" s="9"/>
      <c r="L1035" s="9"/>
      <c r="M1035" s="9"/>
      <c r="N1035" s="9"/>
      <c r="O1035" s="212"/>
      <c r="P1035" s="9"/>
      <c r="Q1035" s="9"/>
      <c r="R1035" s="9"/>
      <c r="S1035" s="9"/>
      <c r="T1035" s="9"/>
      <c r="U1035" s="9"/>
      <c r="V1035" s="9"/>
      <c r="W1035" s="9"/>
      <c r="X1035" s="9"/>
      <c r="Y1035" s="9"/>
      <c r="Z1035" s="9"/>
      <c r="AA1035" s="212"/>
      <c r="AB1035" s="9"/>
      <c r="AC1035" s="9"/>
      <c r="AD1035" s="9"/>
      <c r="AE1035" s="9"/>
      <c r="AF1035" s="9"/>
      <c r="AG1035" s="9"/>
      <c r="AH1035" s="9"/>
      <c r="AI1035" s="9"/>
      <c r="AJ1035" s="9"/>
      <c r="AK1035" s="9"/>
      <c r="AL1035" s="9"/>
      <c r="AM1035" s="9"/>
      <c r="AN1035" s="9"/>
      <c r="AO1035" s="9"/>
      <c r="AP1035" s="9"/>
      <c r="AQ1035" s="9"/>
      <c r="AR1035" s="9"/>
      <c r="AS1035" s="9"/>
      <c r="AT1035" s="9"/>
      <c r="AU1035" s="9"/>
      <c r="AV1035" s="9"/>
      <c r="AW1035" s="9"/>
      <c r="AX1035" s="9"/>
    </row>
    <row r="1036" spans="1:50" ht="15.75" customHeight="1" x14ac:dyDescent="0.2">
      <c r="A1036" s="9"/>
      <c r="B1036" s="9"/>
      <c r="C1036" s="9"/>
      <c r="D1036" s="9"/>
      <c r="E1036" s="9"/>
      <c r="F1036" s="9"/>
      <c r="G1036" s="9"/>
      <c r="H1036" s="9"/>
      <c r="I1036" s="9"/>
      <c r="J1036" s="9"/>
      <c r="K1036" s="9"/>
      <c r="L1036" s="9"/>
      <c r="M1036" s="9"/>
      <c r="N1036" s="9"/>
      <c r="O1036" s="212"/>
      <c r="P1036" s="9"/>
      <c r="Q1036" s="9"/>
      <c r="R1036" s="9"/>
      <c r="S1036" s="9"/>
      <c r="T1036" s="9"/>
      <c r="U1036" s="9"/>
      <c r="V1036" s="9"/>
      <c r="W1036" s="9"/>
      <c r="X1036" s="9"/>
      <c r="Y1036" s="9"/>
      <c r="Z1036" s="9"/>
      <c r="AA1036" s="212"/>
      <c r="AB1036" s="9"/>
      <c r="AC1036" s="9"/>
      <c r="AD1036" s="9"/>
      <c r="AE1036" s="9"/>
      <c r="AF1036" s="9"/>
      <c r="AG1036" s="9"/>
      <c r="AH1036" s="9"/>
      <c r="AI1036" s="9"/>
      <c r="AJ1036" s="9"/>
      <c r="AK1036" s="9"/>
      <c r="AL1036" s="9"/>
      <c r="AM1036" s="9"/>
      <c r="AN1036" s="9"/>
      <c r="AO1036" s="9"/>
      <c r="AP1036" s="9"/>
      <c r="AQ1036" s="9"/>
      <c r="AR1036" s="9"/>
      <c r="AS1036" s="9"/>
      <c r="AT1036" s="9"/>
      <c r="AU1036" s="9"/>
      <c r="AV1036" s="9"/>
      <c r="AW1036" s="9"/>
      <c r="AX1036" s="9"/>
    </row>
    <row r="1037" spans="1:50" ht="15.75" customHeight="1" x14ac:dyDescent="0.2">
      <c r="A1037" s="9"/>
      <c r="B1037" s="9"/>
      <c r="C1037" s="9"/>
      <c r="D1037" s="9"/>
      <c r="E1037" s="9"/>
      <c r="F1037" s="9"/>
      <c r="G1037" s="9"/>
      <c r="H1037" s="9"/>
      <c r="I1037" s="9"/>
      <c r="J1037" s="9"/>
      <c r="K1037" s="9"/>
      <c r="L1037" s="9"/>
      <c r="M1037" s="9"/>
      <c r="N1037" s="9"/>
      <c r="O1037" s="212"/>
      <c r="P1037" s="9"/>
      <c r="Q1037" s="9"/>
      <c r="R1037" s="9"/>
      <c r="S1037" s="9"/>
      <c r="T1037" s="9"/>
      <c r="U1037" s="9"/>
      <c r="V1037" s="9"/>
      <c r="W1037" s="9"/>
      <c r="X1037" s="9"/>
      <c r="Y1037" s="9"/>
      <c r="Z1037" s="9"/>
      <c r="AA1037" s="212"/>
      <c r="AB1037" s="9"/>
      <c r="AC1037" s="9"/>
      <c r="AD1037" s="9"/>
      <c r="AE1037" s="9"/>
      <c r="AF1037" s="9"/>
      <c r="AG1037" s="9"/>
      <c r="AH1037" s="9"/>
      <c r="AI1037" s="9"/>
      <c r="AJ1037" s="9"/>
      <c r="AK1037" s="9"/>
      <c r="AL1037" s="9"/>
      <c r="AM1037" s="9"/>
      <c r="AN1037" s="9"/>
      <c r="AO1037" s="9"/>
      <c r="AP1037" s="9"/>
      <c r="AQ1037" s="9"/>
      <c r="AR1037" s="9"/>
      <c r="AS1037" s="9"/>
      <c r="AT1037" s="9"/>
      <c r="AU1037" s="9"/>
      <c r="AV1037" s="9"/>
      <c r="AW1037" s="9"/>
      <c r="AX1037" s="9"/>
    </row>
    <row r="1038" spans="1:50" ht="15.75" customHeight="1" x14ac:dyDescent="0.2">
      <c r="A1038" s="9"/>
      <c r="B1038" s="9"/>
      <c r="C1038" s="9"/>
      <c r="D1038" s="9"/>
      <c r="E1038" s="9"/>
      <c r="F1038" s="9"/>
      <c r="G1038" s="9"/>
      <c r="H1038" s="9"/>
      <c r="I1038" s="9"/>
      <c r="J1038" s="9"/>
      <c r="K1038" s="9"/>
      <c r="L1038" s="9"/>
      <c r="M1038" s="9"/>
      <c r="N1038" s="9"/>
      <c r="O1038" s="212"/>
      <c r="P1038" s="9"/>
      <c r="Q1038" s="9"/>
      <c r="R1038" s="9"/>
      <c r="S1038" s="9"/>
      <c r="T1038" s="9"/>
      <c r="U1038" s="9"/>
      <c r="V1038" s="9"/>
      <c r="W1038" s="9"/>
      <c r="X1038" s="9"/>
      <c r="Y1038" s="9"/>
      <c r="Z1038" s="9"/>
      <c r="AA1038" s="212"/>
      <c r="AB1038" s="9"/>
      <c r="AC1038" s="9"/>
      <c r="AD1038" s="9"/>
      <c r="AE1038" s="9"/>
      <c r="AF1038" s="9"/>
      <c r="AG1038" s="9"/>
      <c r="AH1038" s="9"/>
      <c r="AI1038" s="9"/>
      <c r="AJ1038" s="9"/>
      <c r="AK1038" s="9"/>
      <c r="AL1038" s="9"/>
      <c r="AM1038" s="9"/>
      <c r="AN1038" s="9"/>
      <c r="AO1038" s="9"/>
      <c r="AP1038" s="9"/>
      <c r="AQ1038" s="9"/>
      <c r="AR1038" s="9"/>
      <c r="AS1038" s="9"/>
      <c r="AT1038" s="9"/>
      <c r="AU1038" s="9"/>
      <c r="AV1038" s="9"/>
      <c r="AW1038" s="9"/>
      <c r="AX1038" s="9"/>
    </row>
    <row r="1039" spans="1:50" ht="15.75" customHeight="1" x14ac:dyDescent="0.2">
      <c r="A1039" s="9"/>
      <c r="B1039" s="9"/>
      <c r="C1039" s="9"/>
      <c r="D1039" s="9"/>
      <c r="E1039" s="9"/>
      <c r="F1039" s="9"/>
      <c r="G1039" s="9"/>
      <c r="H1039" s="9"/>
      <c r="I1039" s="9"/>
      <c r="J1039" s="9"/>
      <c r="K1039" s="9"/>
      <c r="L1039" s="9"/>
      <c r="M1039" s="9"/>
      <c r="N1039" s="9"/>
      <c r="O1039" s="212"/>
      <c r="P1039" s="9"/>
      <c r="Q1039" s="9"/>
      <c r="R1039" s="9"/>
      <c r="S1039" s="9"/>
      <c r="T1039" s="9"/>
      <c r="U1039" s="9"/>
      <c r="V1039" s="9"/>
      <c r="W1039" s="9"/>
      <c r="X1039" s="9"/>
      <c r="Y1039" s="9"/>
      <c r="Z1039" s="9"/>
      <c r="AA1039" s="212"/>
      <c r="AB1039" s="9"/>
      <c r="AC1039" s="9"/>
      <c r="AD1039" s="9"/>
      <c r="AE1039" s="9"/>
      <c r="AF1039" s="9"/>
      <c r="AG1039" s="9"/>
      <c r="AH1039" s="9"/>
      <c r="AI1039" s="9"/>
      <c r="AJ1039" s="9"/>
      <c r="AK1039" s="9"/>
      <c r="AL1039" s="9"/>
      <c r="AM1039" s="9"/>
      <c r="AN1039" s="9"/>
      <c r="AO1039" s="9"/>
      <c r="AP1039" s="9"/>
      <c r="AQ1039" s="9"/>
      <c r="AR1039" s="9"/>
      <c r="AS1039" s="9"/>
      <c r="AT1039" s="9"/>
      <c r="AU1039" s="9"/>
      <c r="AV1039" s="9"/>
      <c r="AW1039" s="9"/>
      <c r="AX1039" s="9"/>
    </row>
    <row r="1040" spans="1:50" ht="15.75" customHeight="1" x14ac:dyDescent="0.2">
      <c r="A1040" s="9"/>
      <c r="B1040" s="9"/>
      <c r="C1040" s="9"/>
      <c r="D1040" s="9"/>
      <c r="E1040" s="9"/>
      <c r="F1040" s="9"/>
      <c r="G1040" s="9"/>
      <c r="H1040" s="9"/>
      <c r="I1040" s="9"/>
      <c r="J1040" s="9"/>
      <c r="K1040" s="9"/>
      <c r="L1040" s="9"/>
      <c r="M1040" s="9"/>
      <c r="N1040" s="9"/>
      <c r="O1040" s="212"/>
      <c r="P1040" s="9"/>
      <c r="Q1040" s="9"/>
      <c r="R1040" s="9"/>
      <c r="S1040" s="9"/>
      <c r="T1040" s="9"/>
      <c r="U1040" s="9"/>
      <c r="V1040" s="9"/>
      <c r="W1040" s="9"/>
      <c r="X1040" s="9"/>
      <c r="Y1040" s="9"/>
      <c r="Z1040" s="9"/>
      <c r="AA1040" s="212"/>
      <c r="AB1040" s="9"/>
      <c r="AC1040" s="9"/>
      <c r="AD1040" s="9"/>
      <c r="AE1040" s="9"/>
      <c r="AF1040" s="9"/>
      <c r="AG1040" s="9"/>
      <c r="AH1040" s="9"/>
      <c r="AI1040" s="9"/>
      <c r="AJ1040" s="9"/>
      <c r="AK1040" s="9"/>
      <c r="AL1040" s="9"/>
      <c r="AM1040" s="9"/>
      <c r="AN1040" s="9"/>
      <c r="AO1040" s="9"/>
      <c r="AP1040" s="9"/>
      <c r="AQ1040" s="9"/>
      <c r="AR1040" s="9"/>
      <c r="AS1040" s="9"/>
      <c r="AT1040" s="9"/>
      <c r="AU1040" s="9"/>
      <c r="AV1040" s="9"/>
      <c r="AW1040" s="9"/>
      <c r="AX1040" s="9"/>
    </row>
    <row r="1041" spans="1:50" ht="15.75" customHeight="1" x14ac:dyDescent="0.2">
      <c r="A1041" s="9"/>
      <c r="B1041" s="9"/>
      <c r="C1041" s="9"/>
      <c r="D1041" s="9"/>
      <c r="E1041" s="9"/>
      <c r="F1041" s="9"/>
      <c r="G1041" s="9"/>
      <c r="H1041" s="9"/>
      <c r="I1041" s="9"/>
      <c r="J1041" s="9"/>
      <c r="K1041" s="9"/>
      <c r="L1041" s="9"/>
      <c r="M1041" s="9"/>
      <c r="N1041" s="9"/>
      <c r="O1041" s="212"/>
      <c r="P1041" s="9"/>
      <c r="Q1041" s="9"/>
      <c r="R1041" s="9"/>
      <c r="S1041" s="9"/>
      <c r="T1041" s="9"/>
      <c r="U1041" s="9"/>
      <c r="V1041" s="9"/>
      <c r="W1041" s="9"/>
      <c r="X1041" s="9"/>
      <c r="Y1041" s="9"/>
      <c r="Z1041" s="9"/>
      <c r="AA1041" s="212"/>
      <c r="AB1041" s="9"/>
      <c r="AC1041" s="9"/>
      <c r="AD1041" s="9"/>
      <c r="AE1041" s="9"/>
      <c r="AF1041" s="9"/>
      <c r="AG1041" s="9"/>
      <c r="AH1041" s="9"/>
      <c r="AI1041" s="9"/>
      <c r="AJ1041" s="9"/>
      <c r="AK1041" s="9"/>
      <c r="AL1041" s="9"/>
      <c r="AM1041" s="9"/>
      <c r="AN1041" s="9"/>
      <c r="AO1041" s="9"/>
      <c r="AP1041" s="9"/>
      <c r="AQ1041" s="9"/>
      <c r="AR1041" s="9"/>
      <c r="AS1041" s="9"/>
      <c r="AT1041" s="9"/>
      <c r="AU1041" s="9"/>
      <c r="AV1041" s="9"/>
      <c r="AW1041" s="9"/>
      <c r="AX1041" s="9"/>
    </row>
    <row r="1042" spans="1:50" ht="15.75" customHeight="1" x14ac:dyDescent="0.2">
      <c r="A1042" s="9"/>
      <c r="B1042" s="9"/>
      <c r="C1042" s="9"/>
      <c r="D1042" s="9"/>
      <c r="E1042" s="9"/>
      <c r="F1042" s="9"/>
      <c r="G1042" s="9"/>
      <c r="H1042" s="9"/>
      <c r="I1042" s="9"/>
      <c r="J1042" s="9"/>
      <c r="K1042" s="9"/>
      <c r="L1042" s="9"/>
      <c r="M1042" s="9"/>
      <c r="N1042" s="9"/>
      <c r="O1042" s="212"/>
      <c r="P1042" s="9"/>
      <c r="Q1042" s="9"/>
      <c r="R1042" s="9"/>
      <c r="S1042" s="9"/>
      <c r="T1042" s="9"/>
      <c r="U1042" s="9"/>
      <c r="V1042" s="9"/>
      <c r="W1042" s="9"/>
      <c r="X1042" s="9"/>
      <c r="Y1042" s="9"/>
      <c r="Z1042" s="9"/>
      <c r="AA1042" s="212"/>
      <c r="AB1042" s="9"/>
      <c r="AC1042" s="9"/>
      <c r="AD1042" s="9"/>
      <c r="AE1042" s="9"/>
      <c r="AF1042" s="9"/>
      <c r="AG1042" s="9"/>
      <c r="AH1042" s="9"/>
      <c r="AI1042" s="9"/>
      <c r="AJ1042" s="9"/>
      <c r="AK1042" s="9"/>
      <c r="AL1042" s="9"/>
      <c r="AM1042" s="9"/>
      <c r="AN1042" s="9"/>
      <c r="AO1042" s="9"/>
      <c r="AP1042" s="9"/>
      <c r="AQ1042" s="9"/>
      <c r="AR1042" s="9"/>
      <c r="AS1042" s="9"/>
      <c r="AT1042" s="9"/>
      <c r="AU1042" s="9"/>
      <c r="AV1042" s="9"/>
      <c r="AW1042" s="9"/>
      <c r="AX1042" s="9"/>
    </row>
    <row r="1043" spans="1:50" ht="15.75" customHeight="1" x14ac:dyDescent="0.2">
      <c r="A1043" s="9"/>
      <c r="B1043" s="9"/>
      <c r="C1043" s="9"/>
      <c r="D1043" s="9"/>
      <c r="E1043" s="9"/>
      <c r="F1043" s="9"/>
      <c r="G1043" s="9"/>
      <c r="H1043" s="9"/>
      <c r="I1043" s="9"/>
      <c r="J1043" s="9"/>
      <c r="K1043" s="9"/>
      <c r="L1043" s="9"/>
      <c r="M1043" s="9"/>
      <c r="N1043" s="9"/>
      <c r="O1043" s="212"/>
      <c r="P1043" s="9"/>
      <c r="Q1043" s="9"/>
      <c r="R1043" s="9"/>
      <c r="S1043" s="9"/>
      <c r="T1043" s="9"/>
      <c r="U1043" s="9"/>
      <c r="V1043" s="9"/>
      <c r="W1043" s="9"/>
      <c r="X1043" s="9"/>
      <c r="Y1043" s="9"/>
      <c r="Z1043" s="9"/>
      <c r="AA1043" s="212"/>
      <c r="AB1043" s="9"/>
      <c r="AC1043" s="9"/>
      <c r="AD1043" s="9"/>
      <c r="AE1043" s="9"/>
      <c r="AF1043" s="9"/>
      <c r="AG1043" s="9"/>
      <c r="AH1043" s="9"/>
      <c r="AI1043" s="9"/>
      <c r="AJ1043" s="9"/>
      <c r="AK1043" s="9"/>
      <c r="AL1043" s="9"/>
      <c r="AM1043" s="9"/>
      <c r="AN1043" s="9"/>
      <c r="AO1043" s="9"/>
      <c r="AP1043" s="9"/>
      <c r="AQ1043" s="9"/>
      <c r="AR1043" s="9"/>
      <c r="AS1043" s="9"/>
      <c r="AT1043" s="9"/>
      <c r="AU1043" s="9"/>
      <c r="AV1043" s="9"/>
      <c r="AW1043" s="9"/>
      <c r="AX1043" s="9"/>
    </row>
    <row r="1044" spans="1:50" ht="15.75" customHeight="1" x14ac:dyDescent="0.2">
      <c r="A1044" s="9"/>
      <c r="B1044" s="9"/>
      <c r="C1044" s="9"/>
      <c r="D1044" s="9"/>
      <c r="E1044" s="9"/>
      <c r="F1044" s="9"/>
      <c r="G1044" s="9"/>
      <c r="H1044" s="9"/>
      <c r="I1044" s="9"/>
      <c r="J1044" s="9"/>
      <c r="K1044" s="9"/>
      <c r="L1044" s="9"/>
      <c r="M1044" s="9"/>
      <c r="N1044" s="9"/>
      <c r="O1044" s="212"/>
      <c r="P1044" s="9"/>
      <c r="Q1044" s="9"/>
      <c r="R1044" s="9"/>
      <c r="S1044" s="9"/>
      <c r="T1044" s="9"/>
      <c r="U1044" s="9"/>
      <c r="V1044" s="9"/>
      <c r="W1044" s="9"/>
      <c r="X1044" s="9"/>
      <c r="Y1044" s="9"/>
      <c r="Z1044" s="9"/>
      <c r="AA1044" s="212"/>
      <c r="AB1044" s="9"/>
      <c r="AC1044" s="9"/>
      <c r="AD1044" s="9"/>
      <c r="AE1044" s="9"/>
      <c r="AF1044" s="9"/>
      <c r="AG1044" s="9"/>
      <c r="AH1044" s="9"/>
      <c r="AI1044" s="9"/>
      <c r="AJ1044" s="9"/>
      <c r="AK1044" s="9"/>
      <c r="AL1044" s="9"/>
      <c r="AM1044" s="9"/>
      <c r="AN1044" s="9"/>
      <c r="AO1044" s="9"/>
      <c r="AP1044" s="9"/>
      <c r="AQ1044" s="9"/>
      <c r="AR1044" s="9"/>
      <c r="AS1044" s="9"/>
      <c r="AT1044" s="9"/>
      <c r="AU1044" s="9"/>
      <c r="AV1044" s="9"/>
      <c r="AW1044" s="9"/>
      <c r="AX1044" s="9"/>
    </row>
    <row r="1045" spans="1:50" ht="15.75" customHeight="1" x14ac:dyDescent="0.2">
      <c r="A1045" s="9"/>
      <c r="B1045" s="9"/>
      <c r="C1045" s="9"/>
      <c r="D1045" s="9"/>
      <c r="E1045" s="9"/>
      <c r="F1045" s="9"/>
      <c r="G1045" s="9"/>
      <c r="H1045" s="9"/>
      <c r="I1045" s="9"/>
      <c r="J1045" s="9"/>
      <c r="K1045" s="9"/>
      <c r="L1045" s="9"/>
      <c r="M1045" s="9"/>
      <c r="N1045" s="9"/>
      <c r="O1045" s="212"/>
      <c r="P1045" s="9"/>
      <c r="Q1045" s="9"/>
      <c r="R1045" s="9"/>
      <c r="S1045" s="9"/>
      <c r="T1045" s="9"/>
      <c r="U1045" s="9"/>
      <c r="V1045" s="9"/>
      <c r="W1045" s="9"/>
      <c r="X1045" s="9"/>
      <c r="Y1045" s="9"/>
      <c r="Z1045" s="9"/>
      <c r="AA1045" s="212"/>
      <c r="AB1045" s="9"/>
      <c r="AC1045" s="9"/>
      <c r="AD1045" s="9"/>
      <c r="AE1045" s="9"/>
      <c r="AF1045" s="9"/>
      <c r="AG1045" s="9"/>
      <c r="AH1045" s="9"/>
      <c r="AI1045" s="9"/>
      <c r="AJ1045" s="9"/>
      <c r="AK1045" s="9"/>
      <c r="AL1045" s="9"/>
      <c r="AM1045" s="9"/>
      <c r="AN1045" s="9"/>
      <c r="AO1045" s="9"/>
      <c r="AP1045" s="9"/>
      <c r="AQ1045" s="9"/>
      <c r="AR1045" s="9"/>
      <c r="AS1045" s="9"/>
      <c r="AT1045" s="9"/>
      <c r="AU1045" s="9"/>
      <c r="AV1045" s="9"/>
      <c r="AW1045" s="9"/>
      <c r="AX1045" s="9"/>
    </row>
    <row r="1046" spans="1:50" ht="15.75" customHeight="1" x14ac:dyDescent="0.2">
      <c r="A1046" s="9"/>
      <c r="B1046" s="9"/>
      <c r="C1046" s="9"/>
      <c r="D1046" s="9"/>
      <c r="E1046" s="9"/>
      <c r="F1046" s="9"/>
      <c r="G1046" s="9"/>
      <c r="H1046" s="9"/>
      <c r="I1046" s="9"/>
      <c r="J1046" s="9"/>
      <c r="K1046" s="9"/>
      <c r="L1046" s="9"/>
      <c r="M1046" s="9"/>
      <c r="N1046" s="9"/>
      <c r="O1046" s="212"/>
      <c r="P1046" s="9"/>
      <c r="Q1046" s="9"/>
      <c r="R1046" s="9"/>
      <c r="S1046" s="9"/>
      <c r="T1046" s="9"/>
      <c r="U1046" s="9"/>
      <c r="V1046" s="9"/>
      <c r="W1046" s="9"/>
      <c r="X1046" s="9"/>
      <c r="Y1046" s="9"/>
      <c r="Z1046" s="9"/>
      <c r="AA1046" s="212"/>
      <c r="AB1046" s="9"/>
      <c r="AC1046" s="9"/>
      <c r="AD1046" s="9"/>
      <c r="AE1046" s="9"/>
      <c r="AF1046" s="9"/>
      <c r="AG1046" s="9"/>
      <c r="AH1046" s="9"/>
      <c r="AI1046" s="9"/>
      <c r="AJ1046" s="9"/>
      <c r="AK1046" s="9"/>
      <c r="AL1046" s="9"/>
      <c r="AM1046" s="9"/>
      <c r="AN1046" s="9"/>
      <c r="AO1046" s="9"/>
      <c r="AP1046" s="9"/>
      <c r="AQ1046" s="9"/>
      <c r="AR1046" s="9"/>
      <c r="AS1046" s="9"/>
      <c r="AT1046" s="9"/>
      <c r="AU1046" s="9"/>
      <c r="AV1046" s="9"/>
      <c r="AW1046" s="9"/>
      <c r="AX1046" s="9"/>
    </row>
    <row r="1047" spans="1:50" ht="15.75" customHeight="1" x14ac:dyDescent="0.2">
      <c r="A1047" s="9"/>
      <c r="B1047" s="9"/>
      <c r="C1047" s="9"/>
      <c r="D1047" s="9"/>
      <c r="E1047" s="9"/>
      <c r="F1047" s="9"/>
      <c r="G1047" s="9"/>
      <c r="H1047" s="9"/>
      <c r="I1047" s="9"/>
      <c r="J1047" s="9"/>
      <c r="K1047" s="9"/>
      <c r="L1047" s="9"/>
      <c r="M1047" s="9"/>
      <c r="N1047" s="9"/>
      <c r="O1047" s="212"/>
      <c r="P1047" s="9"/>
      <c r="Q1047" s="9"/>
      <c r="R1047" s="9"/>
      <c r="S1047" s="9"/>
      <c r="T1047" s="9"/>
      <c r="U1047" s="9"/>
      <c r="V1047" s="9"/>
      <c r="W1047" s="9"/>
      <c r="X1047" s="9"/>
      <c r="Y1047" s="9"/>
      <c r="Z1047" s="9"/>
      <c r="AA1047" s="212"/>
      <c r="AB1047" s="9"/>
      <c r="AC1047" s="9"/>
      <c r="AD1047" s="9"/>
      <c r="AE1047" s="9"/>
      <c r="AF1047" s="9"/>
      <c r="AG1047" s="9"/>
      <c r="AH1047" s="9"/>
      <c r="AI1047" s="9"/>
      <c r="AJ1047" s="9"/>
      <c r="AK1047" s="9"/>
      <c r="AL1047" s="9"/>
      <c r="AM1047" s="9"/>
      <c r="AN1047" s="9"/>
      <c r="AO1047" s="9"/>
      <c r="AP1047" s="9"/>
      <c r="AQ1047" s="9"/>
      <c r="AR1047" s="9"/>
      <c r="AS1047" s="9"/>
      <c r="AT1047" s="9"/>
      <c r="AU1047" s="9"/>
      <c r="AV1047" s="9"/>
      <c r="AW1047" s="9"/>
      <c r="AX1047" s="9"/>
    </row>
    <row r="1048" spans="1:50" ht="15.75" customHeight="1" x14ac:dyDescent="0.2">
      <c r="A1048" s="9"/>
      <c r="B1048" s="9"/>
      <c r="C1048" s="9"/>
      <c r="D1048" s="9"/>
      <c r="E1048" s="9"/>
      <c r="F1048" s="9"/>
      <c r="G1048" s="9"/>
      <c r="H1048" s="9"/>
      <c r="I1048" s="9"/>
      <c r="J1048" s="9"/>
      <c r="K1048" s="9"/>
      <c r="L1048" s="9"/>
      <c r="M1048" s="9"/>
      <c r="N1048" s="9"/>
      <c r="O1048" s="212"/>
      <c r="P1048" s="9"/>
      <c r="Q1048" s="9"/>
      <c r="R1048" s="9"/>
      <c r="S1048" s="9"/>
      <c r="T1048" s="9"/>
      <c r="U1048" s="9"/>
      <c r="V1048" s="9"/>
      <c r="W1048" s="9"/>
      <c r="X1048" s="9"/>
      <c r="Y1048" s="9"/>
      <c r="Z1048" s="9"/>
      <c r="AA1048" s="212"/>
      <c r="AB1048" s="9"/>
      <c r="AC1048" s="9"/>
      <c r="AD1048" s="9"/>
      <c r="AE1048" s="9"/>
      <c r="AF1048" s="9"/>
      <c r="AG1048" s="9"/>
      <c r="AH1048" s="9"/>
      <c r="AI1048" s="9"/>
      <c r="AJ1048" s="9"/>
      <c r="AK1048" s="9"/>
      <c r="AL1048" s="9"/>
      <c r="AM1048" s="9"/>
      <c r="AN1048" s="9"/>
      <c r="AO1048" s="9"/>
      <c r="AP1048" s="9"/>
      <c r="AQ1048" s="9"/>
      <c r="AR1048" s="9"/>
      <c r="AS1048" s="9"/>
      <c r="AT1048" s="9"/>
      <c r="AU1048" s="9"/>
      <c r="AV1048" s="9"/>
      <c r="AW1048" s="9"/>
      <c r="AX1048" s="9"/>
    </row>
    <row r="1049" spans="1:50" ht="15.75" customHeight="1" x14ac:dyDescent="0.2">
      <c r="A1049" s="9"/>
      <c r="B1049" s="9"/>
      <c r="C1049" s="9"/>
      <c r="D1049" s="9"/>
      <c r="E1049" s="9"/>
      <c r="F1049" s="9"/>
      <c r="G1049" s="9"/>
      <c r="H1049" s="9"/>
      <c r="I1049" s="9"/>
      <c r="J1049" s="9"/>
      <c r="K1049" s="9"/>
      <c r="L1049" s="9"/>
      <c r="M1049" s="9"/>
      <c r="N1049" s="9"/>
      <c r="O1049" s="212"/>
      <c r="P1049" s="9"/>
      <c r="Q1049" s="9"/>
      <c r="R1049" s="9"/>
      <c r="S1049" s="9"/>
      <c r="T1049" s="9"/>
      <c r="U1049" s="9"/>
      <c r="V1049" s="9"/>
      <c r="W1049" s="9"/>
      <c r="X1049" s="9"/>
      <c r="Y1049" s="9"/>
      <c r="Z1049" s="9"/>
      <c r="AA1049" s="212"/>
      <c r="AB1049" s="9"/>
      <c r="AC1049" s="9"/>
      <c r="AD1049" s="9"/>
      <c r="AE1049" s="9"/>
      <c r="AF1049" s="9"/>
      <c r="AG1049" s="9"/>
      <c r="AH1049" s="9"/>
      <c r="AI1049" s="9"/>
      <c r="AJ1049" s="9"/>
      <c r="AK1049" s="9"/>
      <c r="AL1049" s="9"/>
      <c r="AM1049" s="9"/>
      <c r="AN1049" s="9"/>
      <c r="AO1049" s="9"/>
      <c r="AP1049" s="9"/>
      <c r="AQ1049" s="9"/>
      <c r="AR1049" s="9"/>
      <c r="AS1049" s="9"/>
      <c r="AT1049" s="9"/>
      <c r="AU1049" s="9"/>
      <c r="AV1049" s="9"/>
      <c r="AW1049" s="9"/>
      <c r="AX1049" s="9"/>
    </row>
    <row r="1050" spans="1:50" ht="15.75" customHeight="1" x14ac:dyDescent="0.2">
      <c r="A1050" s="9"/>
      <c r="B1050" s="9"/>
      <c r="C1050" s="9"/>
      <c r="D1050" s="9"/>
      <c r="E1050" s="9"/>
      <c r="F1050" s="9"/>
      <c r="G1050" s="9"/>
      <c r="H1050" s="9"/>
      <c r="I1050" s="9"/>
      <c r="J1050" s="9"/>
      <c r="K1050" s="9"/>
      <c r="L1050" s="9"/>
      <c r="M1050" s="9"/>
      <c r="N1050" s="9"/>
      <c r="O1050" s="212"/>
      <c r="P1050" s="9"/>
      <c r="Q1050" s="9"/>
      <c r="R1050" s="9"/>
      <c r="S1050" s="9"/>
      <c r="T1050" s="9"/>
      <c r="U1050" s="9"/>
      <c r="V1050" s="9"/>
      <c r="W1050" s="9"/>
      <c r="X1050" s="9"/>
      <c r="Y1050" s="9"/>
      <c r="Z1050" s="9"/>
      <c r="AA1050" s="212"/>
      <c r="AB1050" s="9"/>
      <c r="AC1050" s="9"/>
      <c r="AD1050" s="9"/>
      <c r="AE1050" s="9"/>
      <c r="AF1050" s="9"/>
      <c r="AG1050" s="9"/>
      <c r="AH1050" s="9"/>
      <c r="AI1050" s="9"/>
      <c r="AJ1050" s="9"/>
      <c r="AK1050" s="9"/>
      <c r="AL1050" s="9"/>
      <c r="AM1050" s="9"/>
      <c r="AN1050" s="9"/>
      <c r="AO1050" s="9"/>
      <c r="AP1050" s="9"/>
      <c r="AQ1050" s="9"/>
      <c r="AR1050" s="9"/>
      <c r="AS1050" s="9"/>
      <c r="AT1050" s="9"/>
      <c r="AU1050" s="9"/>
      <c r="AV1050" s="9"/>
      <c r="AW1050" s="9"/>
      <c r="AX1050" s="9"/>
    </row>
    <row r="1051" spans="1:50" ht="15.75" customHeight="1" x14ac:dyDescent="0.2">
      <c r="A1051" s="9"/>
      <c r="B1051" s="9"/>
      <c r="C1051" s="9"/>
      <c r="D1051" s="9"/>
      <c r="E1051" s="9"/>
      <c r="F1051" s="9"/>
      <c r="G1051" s="9"/>
      <c r="H1051" s="9"/>
      <c r="I1051" s="9"/>
      <c r="J1051" s="9"/>
      <c r="K1051" s="9"/>
      <c r="L1051" s="9"/>
      <c r="M1051" s="9"/>
      <c r="N1051" s="9"/>
      <c r="O1051" s="212"/>
      <c r="P1051" s="9"/>
      <c r="Q1051" s="9"/>
      <c r="R1051" s="9"/>
      <c r="S1051" s="9"/>
      <c r="T1051" s="9"/>
      <c r="U1051" s="9"/>
      <c r="V1051" s="9"/>
      <c r="W1051" s="9"/>
      <c r="X1051" s="9"/>
      <c r="Y1051" s="9"/>
      <c r="Z1051" s="9"/>
      <c r="AA1051" s="212"/>
      <c r="AB1051" s="9"/>
      <c r="AC1051" s="9"/>
      <c r="AD1051" s="9"/>
      <c r="AE1051" s="9"/>
      <c r="AF1051" s="9"/>
      <c r="AG1051" s="9"/>
      <c r="AH1051" s="9"/>
      <c r="AI1051" s="9"/>
      <c r="AJ1051" s="9"/>
      <c r="AK1051" s="9"/>
      <c r="AL1051" s="9"/>
      <c r="AM1051" s="9"/>
      <c r="AN1051" s="9"/>
      <c r="AO1051" s="9"/>
      <c r="AP1051" s="9"/>
      <c r="AQ1051" s="9"/>
      <c r="AR1051" s="9"/>
      <c r="AS1051" s="9"/>
      <c r="AT1051" s="9"/>
      <c r="AU1051" s="9"/>
      <c r="AV1051" s="9"/>
      <c r="AW1051" s="9"/>
      <c r="AX1051" s="9"/>
    </row>
    <row r="1052" spans="1:50" ht="15.75" customHeight="1" x14ac:dyDescent="0.2">
      <c r="A1052" s="9"/>
      <c r="B1052" s="9"/>
      <c r="C1052" s="9"/>
      <c r="D1052" s="9"/>
      <c r="E1052" s="9"/>
      <c r="F1052" s="9"/>
      <c r="G1052" s="9"/>
      <c r="H1052" s="9"/>
      <c r="I1052" s="9"/>
      <c r="J1052" s="9"/>
      <c r="K1052" s="9"/>
      <c r="L1052" s="9"/>
      <c r="M1052" s="9"/>
      <c r="N1052" s="9"/>
      <c r="O1052" s="212"/>
      <c r="P1052" s="9"/>
      <c r="Q1052" s="9"/>
      <c r="R1052" s="9"/>
      <c r="S1052" s="9"/>
      <c r="T1052" s="9"/>
      <c r="U1052" s="9"/>
      <c r="V1052" s="9"/>
      <c r="W1052" s="9"/>
      <c r="X1052" s="9"/>
      <c r="Y1052" s="9"/>
      <c r="Z1052" s="9"/>
      <c r="AA1052" s="212"/>
      <c r="AB1052" s="9"/>
      <c r="AC1052" s="9"/>
      <c r="AD1052" s="9"/>
      <c r="AE1052" s="9"/>
      <c r="AF1052" s="9"/>
      <c r="AG1052" s="9"/>
      <c r="AH1052" s="9"/>
      <c r="AI1052" s="9"/>
      <c r="AJ1052" s="9"/>
      <c r="AK1052" s="9"/>
      <c r="AL1052" s="9"/>
      <c r="AM1052" s="9"/>
      <c r="AN1052" s="9"/>
      <c r="AO1052" s="9"/>
      <c r="AP1052" s="9"/>
      <c r="AQ1052" s="9"/>
      <c r="AR1052" s="9"/>
      <c r="AS1052" s="9"/>
      <c r="AT1052" s="9"/>
      <c r="AU1052" s="9"/>
      <c r="AV1052" s="9"/>
      <c r="AW1052" s="9"/>
      <c r="AX1052" s="9"/>
    </row>
    <row r="1053" spans="1:50" ht="15.75" customHeight="1" x14ac:dyDescent="0.2">
      <c r="A1053" s="9"/>
      <c r="B1053" s="9"/>
      <c r="C1053" s="9"/>
      <c r="D1053" s="9"/>
      <c r="E1053" s="9"/>
      <c r="F1053" s="9"/>
      <c r="G1053" s="9"/>
      <c r="H1053" s="9"/>
      <c r="I1053" s="9"/>
      <c r="J1053" s="9"/>
      <c r="K1053" s="9"/>
      <c r="L1053" s="9"/>
      <c r="M1053" s="9"/>
      <c r="N1053" s="9"/>
      <c r="O1053" s="212"/>
      <c r="P1053" s="9"/>
      <c r="Q1053" s="9"/>
      <c r="R1053" s="9"/>
      <c r="S1053" s="9"/>
      <c r="T1053" s="9"/>
      <c r="U1053" s="9"/>
      <c r="V1053" s="9"/>
      <c r="W1053" s="9"/>
      <c r="X1053" s="9"/>
      <c r="Y1053" s="9"/>
      <c r="Z1053" s="9"/>
      <c r="AA1053" s="212"/>
      <c r="AB1053" s="9"/>
      <c r="AC1053" s="9"/>
      <c r="AD1053" s="9"/>
      <c r="AE1053" s="9"/>
      <c r="AF1053" s="9"/>
      <c r="AG1053" s="9"/>
      <c r="AH1053" s="9"/>
      <c r="AI1053" s="9"/>
      <c r="AJ1053" s="9"/>
      <c r="AK1053" s="9"/>
      <c r="AL1053" s="9"/>
      <c r="AM1053" s="9"/>
      <c r="AN1053" s="9"/>
      <c r="AO1053" s="9"/>
      <c r="AP1053" s="9"/>
      <c r="AQ1053" s="9"/>
      <c r="AR1053" s="9"/>
      <c r="AS1053" s="9"/>
      <c r="AT1053" s="9"/>
      <c r="AU1053" s="9"/>
      <c r="AV1053" s="9"/>
      <c r="AW1053" s="9"/>
      <c r="AX1053" s="9"/>
    </row>
    <row r="1054" spans="1:50" ht="15.75" customHeight="1" x14ac:dyDescent="0.2">
      <c r="A1054" s="9"/>
      <c r="B1054" s="9"/>
      <c r="C1054" s="9"/>
      <c r="D1054" s="9"/>
      <c r="E1054" s="9"/>
      <c r="F1054" s="9"/>
      <c r="G1054" s="9"/>
      <c r="H1054" s="9"/>
      <c r="I1054" s="9"/>
      <c r="J1054" s="9"/>
      <c r="K1054" s="9"/>
      <c r="L1054" s="9"/>
      <c r="M1054" s="9"/>
      <c r="N1054" s="9"/>
      <c r="O1054" s="212"/>
      <c r="P1054" s="9"/>
      <c r="Q1054" s="9"/>
      <c r="R1054" s="9"/>
      <c r="S1054" s="9"/>
      <c r="T1054" s="9"/>
      <c r="U1054" s="9"/>
      <c r="V1054" s="9"/>
      <c r="W1054" s="9"/>
      <c r="X1054" s="9"/>
      <c r="Y1054" s="9"/>
      <c r="Z1054" s="9"/>
      <c r="AA1054" s="212"/>
      <c r="AB1054" s="9"/>
      <c r="AC1054" s="9"/>
      <c r="AD1054" s="9"/>
      <c r="AE1054" s="9"/>
      <c r="AF1054" s="9"/>
      <c r="AG1054" s="9"/>
      <c r="AH1054" s="9"/>
      <c r="AI1054" s="9"/>
      <c r="AJ1054" s="9"/>
      <c r="AK1054" s="9"/>
      <c r="AL1054" s="9"/>
      <c r="AM1054" s="9"/>
      <c r="AN1054" s="9"/>
      <c r="AO1054" s="9"/>
      <c r="AP1054" s="9"/>
      <c r="AQ1054" s="9"/>
      <c r="AR1054" s="9"/>
      <c r="AS1054" s="9"/>
      <c r="AT1054" s="9"/>
      <c r="AU1054" s="9"/>
      <c r="AV1054" s="9"/>
      <c r="AW1054" s="9"/>
      <c r="AX1054" s="9"/>
    </row>
    <row r="1055" spans="1:50" ht="15.75" customHeight="1" x14ac:dyDescent="0.2">
      <c r="A1055" s="9"/>
      <c r="B1055" s="9"/>
      <c r="C1055" s="9"/>
      <c r="D1055" s="9"/>
      <c r="E1055" s="9"/>
      <c r="F1055" s="9"/>
      <c r="G1055" s="9"/>
      <c r="H1055" s="9"/>
      <c r="I1055" s="9"/>
      <c r="J1055" s="9"/>
      <c r="K1055" s="9"/>
      <c r="L1055" s="9"/>
      <c r="M1055" s="9"/>
      <c r="N1055" s="9"/>
      <c r="O1055" s="212"/>
      <c r="P1055" s="9"/>
      <c r="Q1055" s="9"/>
      <c r="R1055" s="9"/>
      <c r="S1055" s="9"/>
      <c r="T1055" s="9"/>
      <c r="U1055" s="9"/>
      <c r="V1055" s="9"/>
      <c r="W1055" s="9"/>
      <c r="X1055" s="9"/>
      <c r="Y1055" s="9"/>
      <c r="Z1055" s="9"/>
      <c r="AA1055" s="212"/>
      <c r="AB1055" s="9"/>
      <c r="AC1055" s="9"/>
      <c r="AD1055" s="9"/>
      <c r="AE1055" s="9"/>
      <c r="AF1055" s="9"/>
      <c r="AG1055" s="9"/>
      <c r="AH1055" s="9"/>
      <c r="AI1055" s="9"/>
      <c r="AJ1055" s="9"/>
      <c r="AK1055" s="9"/>
      <c r="AL1055" s="9"/>
      <c r="AM1055" s="9"/>
      <c r="AN1055" s="9"/>
      <c r="AO1055" s="9"/>
      <c r="AP1055" s="9"/>
      <c r="AQ1055" s="9"/>
      <c r="AR1055" s="9"/>
      <c r="AS1055" s="9"/>
      <c r="AT1055" s="9"/>
      <c r="AU1055" s="9"/>
      <c r="AV1055" s="9"/>
      <c r="AW1055" s="9"/>
      <c r="AX1055" s="9"/>
    </row>
    <row r="1056" spans="1:50" ht="15.75" customHeight="1" x14ac:dyDescent="0.2">
      <c r="A1056" s="9"/>
      <c r="B1056" s="9"/>
      <c r="C1056" s="9"/>
      <c r="D1056" s="9"/>
      <c r="E1056" s="9"/>
      <c r="F1056" s="9"/>
      <c r="G1056" s="9"/>
      <c r="H1056" s="9"/>
      <c r="I1056" s="9"/>
      <c r="J1056" s="9"/>
      <c r="K1056" s="9"/>
      <c r="L1056" s="9"/>
      <c r="M1056" s="9"/>
      <c r="N1056" s="9"/>
      <c r="O1056" s="212"/>
      <c r="P1056" s="9"/>
      <c r="Q1056" s="9"/>
      <c r="R1056" s="9"/>
      <c r="S1056" s="9"/>
      <c r="T1056" s="9"/>
      <c r="U1056" s="9"/>
      <c r="V1056" s="9"/>
      <c r="W1056" s="9"/>
      <c r="X1056" s="9"/>
      <c r="Y1056" s="9"/>
      <c r="Z1056" s="9"/>
      <c r="AA1056" s="212"/>
      <c r="AB1056" s="9"/>
      <c r="AC1056" s="9"/>
      <c r="AD1056" s="9"/>
      <c r="AE1056" s="9"/>
      <c r="AF1056" s="9"/>
      <c r="AG1056" s="9"/>
      <c r="AH1056" s="9"/>
      <c r="AI1056" s="9"/>
      <c r="AJ1056" s="9"/>
      <c r="AK1056" s="9"/>
      <c r="AL1056" s="9"/>
      <c r="AM1056" s="9"/>
      <c r="AN1056" s="9"/>
      <c r="AO1056" s="9"/>
      <c r="AP1056" s="9"/>
      <c r="AQ1056" s="9"/>
      <c r="AR1056" s="9"/>
      <c r="AS1056" s="9"/>
      <c r="AT1056" s="9"/>
      <c r="AU1056" s="9"/>
      <c r="AV1056" s="9"/>
      <c r="AW1056" s="9"/>
      <c r="AX1056" s="9"/>
    </row>
    <row r="1057" spans="1:50" ht="15.75" customHeight="1" x14ac:dyDescent="0.2">
      <c r="A1057" s="9"/>
      <c r="B1057" s="9"/>
      <c r="C1057" s="9"/>
      <c r="D1057" s="9"/>
      <c r="E1057" s="9"/>
      <c r="F1057" s="9"/>
      <c r="G1057" s="9"/>
      <c r="H1057" s="9"/>
      <c r="I1057" s="9"/>
      <c r="J1057" s="9"/>
      <c r="K1057" s="9"/>
      <c r="L1057" s="9"/>
      <c r="M1057" s="9"/>
      <c r="N1057" s="9"/>
      <c r="O1057" s="212"/>
      <c r="P1057" s="9"/>
      <c r="Q1057" s="9"/>
      <c r="R1057" s="9"/>
      <c r="S1057" s="9"/>
      <c r="T1057" s="9"/>
      <c r="U1057" s="9"/>
      <c r="V1057" s="9"/>
      <c r="W1057" s="9"/>
      <c r="X1057" s="9"/>
      <c r="Y1057" s="9"/>
      <c r="Z1057" s="9"/>
      <c r="AA1057" s="212"/>
      <c r="AB1057" s="9"/>
      <c r="AC1057" s="9"/>
      <c r="AD1057" s="9"/>
      <c r="AE1057" s="9"/>
      <c r="AF1057" s="9"/>
      <c r="AG1057" s="9"/>
      <c r="AH1057" s="9"/>
      <c r="AI1057" s="9"/>
      <c r="AJ1057" s="9"/>
      <c r="AK1057" s="9"/>
      <c r="AL1057" s="9"/>
      <c r="AM1057" s="9"/>
      <c r="AN1057" s="9"/>
      <c r="AO1057" s="9"/>
      <c r="AP1057" s="9"/>
      <c r="AQ1057" s="9"/>
      <c r="AR1057" s="9"/>
      <c r="AS1057" s="9"/>
      <c r="AT1057" s="9"/>
      <c r="AU1057" s="9"/>
      <c r="AV1057" s="9"/>
      <c r="AW1057" s="9"/>
      <c r="AX1057" s="9"/>
    </row>
    <row r="1058" spans="1:50" ht="15.75" customHeight="1" x14ac:dyDescent="0.2">
      <c r="A1058" s="9"/>
      <c r="B1058" s="9"/>
      <c r="C1058" s="9"/>
      <c r="D1058" s="9"/>
      <c r="E1058" s="9"/>
      <c r="F1058" s="9"/>
      <c r="G1058" s="9"/>
      <c r="H1058" s="9"/>
      <c r="I1058" s="9"/>
      <c r="J1058" s="9"/>
      <c r="K1058" s="9"/>
      <c r="L1058" s="9"/>
      <c r="M1058" s="9"/>
      <c r="N1058" s="9"/>
      <c r="O1058" s="212"/>
      <c r="P1058" s="9"/>
      <c r="Q1058" s="9"/>
      <c r="R1058" s="9"/>
      <c r="S1058" s="9"/>
      <c r="T1058" s="9"/>
      <c r="U1058" s="9"/>
      <c r="V1058" s="9"/>
      <c r="W1058" s="9"/>
      <c r="X1058" s="9"/>
      <c r="Y1058" s="9"/>
      <c r="Z1058" s="9"/>
      <c r="AA1058" s="212"/>
      <c r="AB1058" s="9"/>
      <c r="AC1058" s="9"/>
      <c r="AD1058" s="9"/>
      <c r="AE1058" s="9"/>
      <c r="AF1058" s="9"/>
      <c r="AG1058" s="9"/>
      <c r="AH1058" s="9"/>
      <c r="AI1058" s="9"/>
      <c r="AJ1058" s="9"/>
      <c r="AK1058" s="9"/>
      <c r="AL1058" s="9"/>
      <c r="AM1058" s="9"/>
      <c r="AN1058" s="9"/>
      <c r="AO1058" s="9"/>
      <c r="AP1058" s="9"/>
      <c r="AQ1058" s="9"/>
      <c r="AR1058" s="9"/>
      <c r="AS1058" s="9"/>
      <c r="AT1058" s="9"/>
      <c r="AU1058" s="9"/>
      <c r="AV1058" s="9"/>
      <c r="AW1058" s="9"/>
      <c r="AX1058" s="9"/>
    </row>
    <row r="1059" spans="1:50" ht="15.75" customHeight="1" x14ac:dyDescent="0.2">
      <c r="A1059" s="9"/>
      <c r="B1059" s="9"/>
      <c r="C1059" s="9"/>
      <c r="D1059" s="9"/>
      <c r="E1059" s="9"/>
      <c r="F1059" s="9"/>
      <c r="G1059" s="9"/>
      <c r="H1059" s="9"/>
      <c r="I1059" s="9"/>
      <c r="J1059" s="9"/>
      <c r="K1059" s="9"/>
      <c r="L1059" s="9"/>
      <c r="M1059" s="9"/>
      <c r="N1059" s="9"/>
      <c r="O1059" s="212"/>
      <c r="P1059" s="9"/>
      <c r="Q1059" s="9"/>
      <c r="R1059" s="9"/>
      <c r="S1059" s="9"/>
      <c r="T1059" s="9"/>
      <c r="U1059" s="9"/>
      <c r="V1059" s="9"/>
      <c r="W1059" s="9"/>
      <c r="X1059" s="9"/>
      <c r="Y1059" s="9"/>
      <c r="Z1059" s="9"/>
      <c r="AA1059" s="212"/>
      <c r="AB1059" s="9"/>
      <c r="AC1059" s="9"/>
      <c r="AD1059" s="9"/>
      <c r="AE1059" s="9"/>
      <c r="AF1059" s="9"/>
      <c r="AG1059" s="9"/>
      <c r="AH1059" s="9"/>
      <c r="AI1059" s="9"/>
      <c r="AJ1059" s="9"/>
      <c r="AK1059" s="9"/>
      <c r="AL1059" s="9"/>
      <c r="AM1059" s="9"/>
      <c r="AN1059" s="9"/>
      <c r="AO1059" s="9"/>
      <c r="AP1059" s="9"/>
      <c r="AQ1059" s="9"/>
      <c r="AR1059" s="9"/>
      <c r="AS1059" s="9"/>
      <c r="AT1059" s="9"/>
      <c r="AU1059" s="9"/>
      <c r="AV1059" s="9"/>
      <c r="AW1059" s="9"/>
      <c r="AX1059" s="9"/>
    </row>
    <row r="1060" spans="1:50" ht="15.75" customHeight="1" x14ac:dyDescent="0.2">
      <c r="A1060" s="9"/>
      <c r="B1060" s="9"/>
      <c r="C1060" s="9"/>
      <c r="D1060" s="9"/>
      <c r="E1060" s="9"/>
      <c r="F1060" s="9"/>
      <c r="G1060" s="9"/>
      <c r="H1060" s="9"/>
      <c r="I1060" s="9"/>
      <c r="J1060" s="9"/>
      <c r="K1060" s="9"/>
      <c r="L1060" s="9"/>
      <c r="M1060" s="9"/>
      <c r="N1060" s="9"/>
      <c r="O1060" s="212"/>
      <c r="P1060" s="9"/>
      <c r="Q1060" s="9"/>
      <c r="R1060" s="9"/>
      <c r="S1060" s="9"/>
      <c r="T1060" s="9"/>
      <c r="U1060" s="9"/>
      <c r="V1060" s="9"/>
      <c r="W1060" s="9"/>
      <c r="X1060" s="9"/>
      <c r="Y1060" s="9"/>
      <c r="Z1060" s="9"/>
      <c r="AA1060" s="212"/>
      <c r="AB1060" s="9"/>
      <c r="AC1060" s="9"/>
      <c r="AD1060" s="9"/>
      <c r="AE1060" s="9"/>
      <c r="AF1060" s="9"/>
      <c r="AG1060" s="9"/>
      <c r="AH1060" s="9"/>
      <c r="AI1060" s="9"/>
      <c r="AJ1060" s="9"/>
      <c r="AK1060" s="9"/>
      <c r="AL1060" s="9"/>
      <c r="AM1060" s="9"/>
      <c r="AN1060" s="9"/>
      <c r="AO1060" s="9"/>
      <c r="AP1060" s="9"/>
      <c r="AQ1060" s="9"/>
      <c r="AR1060" s="9"/>
      <c r="AS1060" s="9"/>
      <c r="AT1060" s="9"/>
      <c r="AU1060" s="9"/>
      <c r="AV1060" s="9"/>
      <c r="AW1060" s="9"/>
      <c r="AX1060" s="9"/>
    </row>
    <row r="1061" spans="1:50" ht="15.75" customHeight="1" x14ac:dyDescent="0.2">
      <c r="A1061" s="9"/>
      <c r="B1061" s="9"/>
      <c r="C1061" s="9"/>
      <c r="D1061" s="9"/>
      <c r="E1061" s="9"/>
      <c r="F1061" s="9"/>
      <c r="G1061" s="9"/>
      <c r="H1061" s="9"/>
      <c r="I1061" s="9"/>
      <c r="J1061" s="9"/>
      <c r="K1061" s="9"/>
      <c r="L1061" s="9"/>
      <c r="M1061" s="9"/>
      <c r="N1061" s="9"/>
      <c r="O1061" s="212"/>
      <c r="P1061" s="9"/>
      <c r="Q1061" s="9"/>
      <c r="R1061" s="9"/>
      <c r="S1061" s="9"/>
      <c r="T1061" s="9"/>
      <c r="U1061" s="9"/>
      <c r="V1061" s="9"/>
      <c r="W1061" s="9"/>
      <c r="X1061" s="9"/>
      <c r="Y1061" s="9"/>
      <c r="Z1061" s="9"/>
      <c r="AA1061" s="212"/>
      <c r="AB1061" s="9"/>
      <c r="AC1061" s="9"/>
      <c r="AD1061" s="9"/>
      <c r="AE1061" s="9"/>
      <c r="AF1061" s="9"/>
      <c r="AG1061" s="9"/>
      <c r="AH1061" s="9"/>
      <c r="AI1061" s="9"/>
      <c r="AJ1061" s="9"/>
      <c r="AK1061" s="9"/>
      <c r="AL1061" s="9"/>
      <c r="AM1061" s="9"/>
      <c r="AN1061" s="9"/>
      <c r="AO1061" s="9"/>
      <c r="AP1061" s="9"/>
      <c r="AQ1061" s="9"/>
      <c r="AR1061" s="9"/>
      <c r="AS1061" s="9"/>
      <c r="AT1061" s="9"/>
      <c r="AU1061" s="9"/>
      <c r="AV1061" s="9"/>
      <c r="AW1061" s="9"/>
      <c r="AX1061" s="9"/>
    </row>
    <row r="1062" spans="1:50" ht="15.75" customHeight="1" x14ac:dyDescent="0.2">
      <c r="A1062" s="9"/>
      <c r="B1062" s="9"/>
      <c r="C1062" s="9"/>
      <c r="D1062" s="9"/>
      <c r="E1062" s="9"/>
      <c r="F1062" s="9"/>
      <c r="G1062" s="9"/>
      <c r="H1062" s="9"/>
      <c r="I1062" s="9"/>
      <c r="J1062" s="9"/>
      <c r="K1062" s="9"/>
      <c r="L1062" s="9"/>
      <c r="M1062" s="9"/>
      <c r="N1062" s="9"/>
      <c r="O1062" s="212"/>
      <c r="P1062" s="9"/>
      <c r="Q1062" s="9"/>
      <c r="R1062" s="9"/>
      <c r="S1062" s="9"/>
      <c r="T1062" s="9"/>
      <c r="U1062" s="9"/>
      <c r="V1062" s="9"/>
      <c r="W1062" s="9"/>
      <c r="X1062" s="9"/>
      <c r="Y1062" s="9"/>
      <c r="Z1062" s="9"/>
      <c r="AA1062" s="212"/>
      <c r="AB1062" s="9"/>
      <c r="AC1062" s="9"/>
      <c r="AD1062" s="9"/>
      <c r="AE1062" s="9"/>
      <c r="AF1062" s="9"/>
      <c r="AG1062" s="9"/>
      <c r="AH1062" s="9"/>
      <c r="AI1062" s="9"/>
      <c r="AJ1062" s="9"/>
      <c r="AK1062" s="9"/>
      <c r="AL1062" s="9"/>
      <c r="AM1062" s="9"/>
      <c r="AN1062" s="9"/>
      <c r="AO1062" s="9"/>
      <c r="AP1062" s="9"/>
      <c r="AQ1062" s="9"/>
      <c r="AR1062" s="9"/>
      <c r="AS1062" s="9"/>
      <c r="AT1062" s="9"/>
      <c r="AU1062" s="9"/>
      <c r="AV1062" s="9"/>
      <c r="AW1062" s="9"/>
      <c r="AX1062" s="9"/>
    </row>
    <row r="1063" spans="1:50" ht="15.75" customHeight="1" x14ac:dyDescent="0.2">
      <c r="A1063" s="9"/>
      <c r="B1063" s="9"/>
      <c r="C1063" s="9"/>
      <c r="D1063" s="9"/>
      <c r="E1063" s="9"/>
      <c r="F1063" s="9"/>
      <c r="G1063" s="9"/>
      <c r="H1063" s="9"/>
      <c r="I1063" s="9"/>
      <c r="J1063" s="9"/>
      <c r="K1063" s="9"/>
      <c r="L1063" s="9"/>
      <c r="M1063" s="9"/>
      <c r="N1063" s="9"/>
      <c r="O1063" s="212"/>
      <c r="P1063" s="9"/>
      <c r="Q1063" s="9"/>
      <c r="R1063" s="9"/>
      <c r="S1063" s="9"/>
      <c r="T1063" s="9"/>
      <c r="U1063" s="9"/>
      <c r="V1063" s="9"/>
      <c r="W1063" s="9"/>
      <c r="X1063" s="9"/>
      <c r="Y1063" s="9"/>
      <c r="Z1063" s="9"/>
      <c r="AA1063" s="212"/>
      <c r="AB1063" s="9"/>
      <c r="AC1063" s="9"/>
      <c r="AD1063" s="9"/>
      <c r="AE1063" s="9"/>
      <c r="AF1063" s="9"/>
      <c r="AG1063" s="9"/>
      <c r="AH1063" s="9"/>
      <c r="AI1063" s="9"/>
      <c r="AJ1063" s="9"/>
      <c r="AK1063" s="9"/>
      <c r="AL1063" s="9"/>
      <c r="AM1063" s="9"/>
      <c r="AN1063" s="9"/>
      <c r="AO1063" s="9"/>
      <c r="AP1063" s="9"/>
      <c r="AQ1063" s="9"/>
      <c r="AR1063" s="9"/>
      <c r="AS1063" s="9"/>
      <c r="AT1063" s="9"/>
      <c r="AU1063" s="9"/>
      <c r="AV1063" s="9"/>
      <c r="AW1063" s="9"/>
      <c r="AX1063" s="9"/>
    </row>
    <row r="1064" spans="1:50" ht="15.75" customHeight="1" x14ac:dyDescent="0.2">
      <c r="A1064" s="9"/>
      <c r="B1064" s="9"/>
      <c r="C1064" s="9"/>
      <c r="D1064" s="9"/>
      <c r="E1064" s="9"/>
      <c r="F1064" s="9"/>
      <c r="G1064" s="9"/>
      <c r="H1064" s="9"/>
      <c r="I1064" s="9"/>
      <c r="J1064" s="9"/>
      <c r="K1064" s="9"/>
      <c r="L1064" s="9"/>
      <c r="M1064" s="9"/>
      <c r="N1064" s="9"/>
      <c r="O1064" s="212"/>
      <c r="P1064" s="9"/>
      <c r="Q1064" s="9"/>
      <c r="R1064" s="9"/>
      <c r="S1064" s="9"/>
      <c r="T1064" s="9"/>
      <c r="U1064" s="9"/>
      <c r="V1064" s="9"/>
      <c r="W1064" s="9"/>
      <c r="X1064" s="9"/>
      <c r="Y1064" s="9"/>
      <c r="Z1064" s="9"/>
      <c r="AA1064" s="212"/>
      <c r="AB1064" s="9"/>
      <c r="AC1064" s="9"/>
      <c r="AD1064" s="9"/>
      <c r="AE1064" s="9"/>
      <c r="AF1064" s="9"/>
      <c r="AG1064" s="9"/>
      <c r="AH1064" s="9"/>
      <c r="AI1064" s="9"/>
      <c r="AJ1064" s="9"/>
      <c r="AK1064" s="9"/>
      <c r="AL1064" s="9"/>
      <c r="AM1064" s="9"/>
      <c r="AN1064" s="9"/>
      <c r="AO1064" s="9"/>
      <c r="AP1064" s="9"/>
      <c r="AQ1064" s="9"/>
      <c r="AR1064" s="9"/>
      <c r="AS1064" s="9"/>
      <c r="AT1064" s="9"/>
      <c r="AU1064" s="9"/>
      <c r="AV1064" s="9"/>
      <c r="AW1064" s="9"/>
      <c r="AX1064" s="9"/>
    </row>
    <row r="1065" spans="1:50" ht="15.75" customHeight="1" x14ac:dyDescent="0.2">
      <c r="A1065" s="9"/>
      <c r="B1065" s="9"/>
      <c r="C1065" s="9"/>
      <c r="D1065" s="9"/>
      <c r="E1065" s="9"/>
      <c r="F1065" s="9"/>
      <c r="G1065" s="9"/>
      <c r="H1065" s="9"/>
      <c r="I1065" s="9"/>
      <c r="J1065" s="9"/>
      <c r="K1065" s="9"/>
      <c r="L1065" s="9"/>
      <c r="M1065" s="9"/>
      <c r="N1065" s="9"/>
      <c r="O1065" s="212"/>
      <c r="P1065" s="9"/>
      <c r="Q1065" s="9"/>
      <c r="R1065" s="9"/>
      <c r="S1065" s="9"/>
      <c r="T1065" s="9"/>
      <c r="U1065" s="9"/>
      <c r="V1065" s="9"/>
      <c r="W1065" s="9"/>
      <c r="X1065" s="9"/>
      <c r="Y1065" s="9"/>
      <c r="Z1065" s="9"/>
      <c r="AA1065" s="212"/>
      <c r="AB1065" s="9"/>
      <c r="AC1065" s="9"/>
      <c r="AD1065" s="9"/>
      <c r="AE1065" s="9"/>
      <c r="AF1065" s="9"/>
      <c r="AG1065" s="9"/>
      <c r="AH1065" s="9"/>
      <c r="AI1065" s="9"/>
      <c r="AJ1065" s="9"/>
      <c r="AK1065" s="9"/>
      <c r="AL1065" s="9"/>
      <c r="AM1065" s="9"/>
      <c r="AN1065" s="9"/>
      <c r="AO1065" s="9"/>
      <c r="AP1065" s="9"/>
      <c r="AQ1065" s="9"/>
      <c r="AR1065" s="9"/>
      <c r="AS1065" s="9"/>
      <c r="AT1065" s="9"/>
      <c r="AU1065" s="9"/>
      <c r="AV1065" s="9"/>
      <c r="AW1065" s="9"/>
      <c r="AX1065" s="9"/>
    </row>
    <row r="1066" spans="1:50" ht="15.75" customHeight="1" x14ac:dyDescent="0.2">
      <c r="A1066" s="9"/>
      <c r="B1066" s="9"/>
      <c r="C1066" s="9"/>
      <c r="D1066" s="9"/>
      <c r="E1066" s="9"/>
      <c r="F1066" s="9"/>
      <c r="G1066" s="9"/>
      <c r="H1066" s="9"/>
      <c r="I1066" s="9"/>
      <c r="J1066" s="9"/>
      <c r="K1066" s="9"/>
      <c r="L1066" s="9"/>
      <c r="M1066" s="9"/>
      <c r="N1066" s="9"/>
      <c r="O1066" s="212"/>
      <c r="P1066" s="9"/>
      <c r="Q1066" s="9"/>
      <c r="R1066" s="9"/>
      <c r="S1066" s="9"/>
      <c r="T1066" s="9"/>
      <c r="U1066" s="9"/>
      <c r="V1066" s="9"/>
      <c r="W1066" s="9"/>
      <c r="X1066" s="9"/>
      <c r="Y1066" s="9"/>
      <c r="Z1066" s="9"/>
      <c r="AA1066" s="212"/>
      <c r="AB1066" s="9"/>
      <c r="AC1066" s="9"/>
      <c r="AD1066" s="9"/>
      <c r="AE1066" s="9"/>
      <c r="AF1066" s="9"/>
      <c r="AG1066" s="9"/>
      <c r="AH1066" s="9"/>
      <c r="AI1066" s="9"/>
      <c r="AJ1066" s="9"/>
      <c r="AK1066" s="9"/>
      <c r="AL1066" s="9"/>
      <c r="AM1066" s="9"/>
      <c r="AN1066" s="9"/>
      <c r="AO1066" s="9"/>
      <c r="AP1066" s="9"/>
      <c r="AQ1066" s="9"/>
      <c r="AR1066" s="9"/>
      <c r="AS1066" s="9"/>
      <c r="AT1066" s="9"/>
      <c r="AU1066" s="9"/>
      <c r="AV1066" s="9"/>
      <c r="AW1066" s="9"/>
      <c r="AX1066" s="9"/>
    </row>
    <row r="1067" spans="1:50" ht="15.75" customHeight="1" x14ac:dyDescent="0.2">
      <c r="A1067" s="9"/>
      <c r="B1067" s="9"/>
      <c r="C1067" s="9"/>
      <c r="D1067" s="9"/>
      <c r="E1067" s="9"/>
      <c r="F1067" s="9"/>
      <c r="G1067" s="9"/>
      <c r="H1067" s="9"/>
      <c r="I1067" s="9"/>
      <c r="J1067" s="9"/>
      <c r="K1067" s="9"/>
      <c r="L1067" s="9"/>
      <c r="M1067" s="9"/>
      <c r="N1067" s="9"/>
      <c r="O1067" s="212"/>
      <c r="P1067" s="9"/>
      <c r="Q1067" s="9"/>
      <c r="R1067" s="9"/>
      <c r="S1067" s="9"/>
      <c r="T1067" s="9"/>
      <c r="U1067" s="9"/>
      <c r="V1067" s="9"/>
      <c r="W1067" s="9"/>
      <c r="X1067" s="9"/>
      <c r="Y1067" s="9"/>
      <c r="Z1067" s="9"/>
      <c r="AA1067" s="212"/>
      <c r="AB1067" s="9"/>
      <c r="AC1067" s="9"/>
      <c r="AD1067" s="9"/>
      <c r="AE1067" s="9"/>
      <c r="AF1067" s="9"/>
      <c r="AG1067" s="9"/>
      <c r="AH1067" s="9"/>
      <c r="AI1067" s="9"/>
      <c r="AJ1067" s="9"/>
      <c r="AK1067" s="9"/>
      <c r="AL1067" s="9"/>
      <c r="AM1067" s="9"/>
      <c r="AN1067" s="9"/>
      <c r="AO1067" s="9"/>
      <c r="AP1067" s="9"/>
      <c r="AQ1067" s="9"/>
      <c r="AR1067" s="9"/>
      <c r="AS1067" s="9"/>
      <c r="AT1067" s="9"/>
      <c r="AU1067" s="9"/>
      <c r="AV1067" s="9"/>
      <c r="AW1067" s="9"/>
      <c r="AX1067" s="9"/>
    </row>
    <row r="1068" spans="1:50" ht="15.75" customHeight="1" x14ac:dyDescent="0.2">
      <c r="A1068" s="9"/>
      <c r="B1068" s="9"/>
      <c r="C1068" s="9"/>
      <c r="D1068" s="9"/>
      <c r="E1068" s="9"/>
      <c r="F1068" s="9"/>
      <c r="G1068" s="9"/>
      <c r="H1068" s="9"/>
      <c r="I1068" s="9"/>
      <c r="J1068" s="9"/>
      <c r="K1068" s="9"/>
      <c r="L1068" s="9"/>
      <c r="M1068" s="9"/>
      <c r="N1068" s="9"/>
      <c r="O1068" s="212"/>
      <c r="P1068" s="9"/>
      <c r="Q1068" s="9"/>
      <c r="R1068" s="9"/>
      <c r="S1068" s="9"/>
      <c r="T1068" s="9"/>
      <c r="U1068" s="9"/>
      <c r="V1068" s="9"/>
      <c r="W1068" s="9"/>
      <c r="X1068" s="9"/>
      <c r="Y1068" s="9"/>
      <c r="Z1068" s="9"/>
      <c r="AA1068" s="212"/>
      <c r="AB1068" s="9"/>
      <c r="AC1068" s="9"/>
      <c r="AD1068" s="9"/>
      <c r="AE1068" s="9"/>
      <c r="AF1068" s="9"/>
      <c r="AG1068" s="9"/>
      <c r="AH1068" s="9"/>
      <c r="AI1068" s="9"/>
      <c r="AJ1068" s="9"/>
      <c r="AK1068" s="9"/>
      <c r="AL1068" s="9"/>
      <c r="AM1068" s="9"/>
      <c r="AN1068" s="9"/>
      <c r="AO1068" s="9"/>
      <c r="AP1068" s="9"/>
      <c r="AQ1068" s="9"/>
      <c r="AR1068" s="9"/>
      <c r="AS1068" s="9"/>
      <c r="AT1068" s="9"/>
      <c r="AU1068" s="9"/>
      <c r="AV1068" s="9"/>
      <c r="AW1068" s="9"/>
      <c r="AX1068" s="9"/>
    </row>
    <row r="1069" spans="1:50" ht="15.75" customHeight="1" x14ac:dyDescent="0.2">
      <c r="A1069" s="9"/>
      <c r="B1069" s="9"/>
      <c r="C1069" s="9"/>
      <c r="D1069" s="9"/>
      <c r="E1069" s="9"/>
      <c r="F1069" s="9"/>
      <c r="G1069" s="9"/>
      <c r="H1069" s="9"/>
      <c r="I1069" s="9"/>
      <c r="J1069" s="9"/>
      <c r="K1069" s="9"/>
      <c r="L1069" s="9"/>
      <c r="M1069" s="9"/>
      <c r="N1069" s="9"/>
      <c r="O1069" s="212"/>
      <c r="P1069" s="9"/>
      <c r="Q1069" s="9"/>
      <c r="R1069" s="9"/>
      <c r="S1069" s="9"/>
      <c r="T1069" s="9"/>
      <c r="U1069" s="9"/>
      <c r="V1069" s="9"/>
      <c r="W1069" s="9"/>
      <c r="X1069" s="9"/>
      <c r="Y1069" s="9"/>
      <c r="Z1069" s="9"/>
      <c r="AA1069" s="212"/>
      <c r="AB1069" s="9"/>
      <c r="AC1069" s="9"/>
      <c r="AD1069" s="9"/>
      <c r="AE1069" s="9"/>
      <c r="AF1069" s="9"/>
      <c r="AG1069" s="9"/>
      <c r="AH1069" s="9"/>
      <c r="AI1069" s="9"/>
      <c r="AJ1069" s="9"/>
      <c r="AK1069" s="9"/>
      <c r="AL1069" s="9"/>
      <c r="AM1069" s="9"/>
      <c r="AN1069" s="9"/>
      <c r="AO1069" s="9"/>
      <c r="AP1069" s="9"/>
      <c r="AQ1069" s="9"/>
      <c r="AR1069" s="9"/>
      <c r="AS1069" s="9"/>
      <c r="AT1069" s="9"/>
      <c r="AU1069" s="9"/>
      <c r="AV1069" s="9"/>
      <c r="AW1069" s="9"/>
      <c r="AX1069" s="9"/>
    </row>
    <row r="1070" spans="1:50" ht="15.75" customHeight="1" x14ac:dyDescent="0.2">
      <c r="A1070" s="9"/>
      <c r="B1070" s="9"/>
      <c r="C1070" s="9"/>
      <c r="D1070" s="9"/>
      <c r="E1070" s="9"/>
      <c r="F1070" s="9"/>
      <c r="G1070" s="9"/>
      <c r="H1070" s="9"/>
      <c r="I1070" s="9"/>
      <c r="J1070" s="9"/>
      <c r="K1070" s="9"/>
      <c r="L1070" s="9"/>
      <c r="M1070" s="9"/>
      <c r="N1070" s="9"/>
      <c r="O1070" s="212"/>
      <c r="P1070" s="9"/>
      <c r="Q1070" s="9"/>
      <c r="R1070" s="9"/>
      <c r="S1070" s="9"/>
      <c r="T1070" s="9"/>
      <c r="U1070" s="9"/>
      <c r="V1070" s="9"/>
      <c r="W1070" s="9"/>
      <c r="X1070" s="9"/>
      <c r="Y1070" s="9"/>
      <c r="Z1070" s="9"/>
      <c r="AA1070" s="212"/>
      <c r="AB1070" s="9"/>
      <c r="AC1070" s="9"/>
      <c r="AD1070" s="9"/>
      <c r="AE1070" s="9"/>
      <c r="AF1070" s="9"/>
      <c r="AG1070" s="9"/>
      <c r="AH1070" s="9"/>
      <c r="AI1070" s="9"/>
      <c r="AJ1070" s="9"/>
      <c r="AK1070" s="9"/>
      <c r="AL1070" s="9"/>
      <c r="AM1070" s="9"/>
      <c r="AN1070" s="9"/>
      <c r="AO1070" s="9"/>
      <c r="AP1070" s="9"/>
      <c r="AQ1070" s="9"/>
      <c r="AR1070" s="9"/>
      <c r="AS1070" s="9"/>
      <c r="AT1070" s="9"/>
      <c r="AU1070" s="9"/>
      <c r="AV1070" s="9"/>
      <c r="AW1070" s="9"/>
      <c r="AX1070" s="9"/>
    </row>
    <row r="1071" spans="1:50" ht="15.75" customHeight="1" x14ac:dyDescent="0.2">
      <c r="A1071" s="9"/>
      <c r="B1071" s="9"/>
      <c r="C1071" s="9"/>
      <c r="D1071" s="9"/>
      <c r="E1071" s="9"/>
      <c r="F1071" s="9"/>
      <c r="G1071" s="9"/>
      <c r="H1071" s="9"/>
      <c r="I1071" s="9"/>
      <c r="J1071" s="9"/>
      <c r="K1071" s="9"/>
      <c r="L1071" s="9"/>
      <c r="M1071" s="9"/>
      <c r="N1071" s="9"/>
      <c r="O1071" s="212"/>
      <c r="P1071" s="9"/>
      <c r="Q1071" s="9"/>
      <c r="R1071" s="9"/>
      <c r="S1071" s="9"/>
      <c r="T1071" s="9"/>
      <c r="U1071" s="9"/>
      <c r="V1071" s="9"/>
      <c r="W1071" s="9"/>
      <c r="X1071" s="9"/>
      <c r="Y1071" s="9"/>
      <c r="Z1071" s="9"/>
      <c r="AA1071" s="212"/>
      <c r="AB1071" s="9"/>
      <c r="AC1071" s="9"/>
      <c r="AD1071" s="9"/>
      <c r="AE1071" s="9"/>
      <c r="AF1071" s="9"/>
      <c r="AG1071" s="9"/>
      <c r="AH1071" s="9"/>
      <c r="AI1071" s="9"/>
      <c r="AJ1071" s="9"/>
      <c r="AK1071" s="9"/>
      <c r="AL1071" s="9"/>
      <c r="AM1071" s="9"/>
      <c r="AN1071" s="9"/>
      <c r="AO1071" s="9"/>
      <c r="AP1071" s="9"/>
      <c r="AQ1071" s="9"/>
      <c r="AR1071" s="9"/>
      <c r="AS1071" s="9"/>
      <c r="AT1071" s="9"/>
      <c r="AU1071" s="9"/>
      <c r="AV1071" s="9"/>
      <c r="AW1071" s="9"/>
      <c r="AX1071" s="9"/>
    </row>
    <row r="1072" spans="1:50" ht="15.75" customHeight="1" x14ac:dyDescent="0.2">
      <c r="A1072" s="9"/>
      <c r="B1072" s="9"/>
      <c r="C1072" s="9"/>
      <c r="D1072" s="9"/>
      <c r="E1072" s="9"/>
      <c r="F1072" s="9"/>
      <c r="G1072" s="9"/>
      <c r="H1072" s="9"/>
      <c r="I1072" s="9"/>
      <c r="J1072" s="9"/>
      <c r="K1072" s="9"/>
      <c r="L1072" s="9"/>
      <c r="M1072" s="9"/>
      <c r="N1072" s="9"/>
      <c r="O1072" s="212"/>
      <c r="P1072" s="9"/>
      <c r="Q1072" s="9"/>
      <c r="R1072" s="9"/>
      <c r="S1072" s="9"/>
      <c r="T1072" s="9"/>
      <c r="U1072" s="9"/>
      <c r="V1072" s="9"/>
      <c r="W1072" s="9"/>
      <c r="X1072" s="9"/>
      <c r="Y1072" s="9"/>
      <c r="Z1072" s="9"/>
      <c r="AA1072" s="212"/>
      <c r="AB1072" s="9"/>
      <c r="AC1072" s="9"/>
      <c r="AD1072" s="9"/>
      <c r="AE1072" s="9"/>
      <c r="AF1072" s="9"/>
      <c r="AG1072" s="9"/>
      <c r="AH1072" s="9"/>
      <c r="AI1072" s="9"/>
      <c r="AJ1072" s="9"/>
      <c r="AK1072" s="9"/>
      <c r="AL1072" s="9"/>
      <c r="AM1072" s="9"/>
      <c r="AN1072" s="9"/>
      <c r="AO1072" s="9"/>
      <c r="AP1072" s="9"/>
      <c r="AQ1072" s="9"/>
      <c r="AR1072" s="9"/>
      <c r="AS1072" s="9"/>
      <c r="AT1072" s="9"/>
      <c r="AU1072" s="9"/>
      <c r="AV1072" s="9"/>
      <c r="AW1072" s="9"/>
      <c r="AX1072" s="9"/>
    </row>
    <row r="1073" spans="1:50" ht="15.75" customHeight="1" x14ac:dyDescent="0.2">
      <c r="A1073" s="9"/>
      <c r="B1073" s="9"/>
      <c r="C1073" s="9"/>
      <c r="D1073" s="9"/>
      <c r="E1073" s="9"/>
      <c r="F1073" s="9"/>
      <c r="G1073" s="9"/>
      <c r="H1073" s="9"/>
      <c r="I1073" s="9"/>
      <c r="J1073" s="9"/>
      <c r="K1073" s="9"/>
      <c r="L1073" s="9"/>
      <c r="M1073" s="9"/>
      <c r="N1073" s="9"/>
      <c r="O1073" s="212"/>
      <c r="P1073" s="9"/>
      <c r="Q1073" s="9"/>
      <c r="R1073" s="9"/>
      <c r="S1073" s="9"/>
      <c r="T1073" s="9"/>
      <c r="U1073" s="9"/>
      <c r="V1073" s="9"/>
      <c r="W1073" s="9"/>
      <c r="X1073" s="9"/>
      <c r="Y1073" s="9"/>
      <c r="Z1073" s="9"/>
      <c r="AA1073" s="212"/>
      <c r="AB1073" s="9"/>
      <c r="AC1073" s="9"/>
      <c r="AD1073" s="9"/>
      <c r="AE1073" s="9"/>
      <c r="AF1073" s="9"/>
      <c r="AG1073" s="9"/>
      <c r="AH1073" s="9"/>
      <c r="AI1073" s="9"/>
      <c r="AJ1073" s="9"/>
      <c r="AK1073" s="9"/>
      <c r="AL1073" s="9"/>
      <c r="AM1073" s="9"/>
      <c r="AN1073" s="9"/>
      <c r="AO1073" s="9"/>
      <c r="AP1073" s="9"/>
      <c r="AQ1073" s="9"/>
      <c r="AR1073" s="9"/>
      <c r="AS1073" s="9"/>
      <c r="AT1073" s="9"/>
      <c r="AU1073" s="9"/>
      <c r="AV1073" s="9"/>
      <c r="AW1073" s="9"/>
      <c r="AX1073" s="9"/>
    </row>
    <row r="1074" spans="1:50" ht="15.75" customHeight="1" x14ac:dyDescent="0.2">
      <c r="A1074" s="9"/>
      <c r="B1074" s="9"/>
      <c r="C1074" s="9"/>
      <c r="D1074" s="9"/>
      <c r="E1074" s="9"/>
      <c r="F1074" s="9"/>
      <c r="G1074" s="9"/>
      <c r="H1074" s="9"/>
      <c r="I1074" s="9"/>
      <c r="J1074" s="9"/>
      <c r="K1074" s="9"/>
      <c r="L1074" s="9"/>
      <c r="M1074" s="9"/>
      <c r="N1074" s="9"/>
      <c r="O1074" s="212"/>
      <c r="P1074" s="9"/>
      <c r="Q1074" s="9"/>
      <c r="R1074" s="9"/>
      <c r="S1074" s="9"/>
      <c r="T1074" s="9"/>
      <c r="U1074" s="9"/>
      <c r="V1074" s="9"/>
      <c r="W1074" s="9"/>
      <c r="X1074" s="9"/>
      <c r="Y1074" s="9"/>
      <c r="Z1074" s="9"/>
      <c r="AA1074" s="212"/>
      <c r="AB1074" s="9"/>
      <c r="AC1074" s="9"/>
      <c r="AD1074" s="9"/>
      <c r="AE1074" s="9"/>
      <c r="AF1074" s="9"/>
      <c r="AG1074" s="9"/>
      <c r="AH1074" s="9"/>
      <c r="AI1074" s="9"/>
      <c r="AJ1074" s="9"/>
      <c r="AK1074" s="9"/>
      <c r="AL1074" s="9"/>
      <c r="AM1074" s="9"/>
      <c r="AN1074" s="9"/>
      <c r="AO1074" s="9"/>
      <c r="AP1074" s="9"/>
      <c r="AQ1074" s="9"/>
      <c r="AR1074" s="9"/>
      <c r="AS1074" s="9"/>
      <c r="AT1074" s="9"/>
      <c r="AU1074" s="9"/>
      <c r="AV1074" s="9"/>
      <c r="AW1074" s="9"/>
      <c r="AX1074" s="9"/>
    </row>
    <row r="1075" spans="1:50" ht="15.75" customHeight="1" x14ac:dyDescent="0.2">
      <c r="A1075" s="9"/>
      <c r="B1075" s="9"/>
      <c r="C1075" s="9"/>
      <c r="D1075" s="9"/>
      <c r="E1075" s="9"/>
      <c r="F1075" s="9"/>
      <c r="G1075" s="9"/>
      <c r="H1075" s="9"/>
      <c r="I1075" s="9"/>
      <c r="J1075" s="9"/>
      <c r="K1075" s="9"/>
      <c r="L1075" s="9"/>
      <c r="M1075" s="9"/>
      <c r="N1075" s="9"/>
      <c r="O1075" s="212"/>
      <c r="P1075" s="9"/>
      <c r="Q1075" s="9"/>
      <c r="R1075" s="9"/>
      <c r="S1075" s="9"/>
      <c r="T1075" s="9"/>
      <c r="U1075" s="9"/>
      <c r="V1075" s="9"/>
      <c r="W1075" s="9"/>
      <c r="X1075" s="9"/>
      <c r="Y1075" s="9"/>
      <c r="Z1075" s="9"/>
      <c r="AA1075" s="212"/>
      <c r="AB1075" s="9"/>
      <c r="AC1075" s="9"/>
      <c r="AD1075" s="9"/>
      <c r="AE1075" s="9"/>
      <c r="AF1075" s="9"/>
      <c r="AG1075" s="9"/>
      <c r="AH1075" s="9"/>
      <c r="AI1075" s="9"/>
      <c r="AJ1075" s="9"/>
      <c r="AK1075" s="9"/>
      <c r="AL1075" s="9"/>
      <c r="AM1075" s="9"/>
      <c r="AN1075" s="9"/>
      <c r="AO1075" s="9"/>
      <c r="AP1075" s="9"/>
      <c r="AQ1075" s="9"/>
      <c r="AR1075" s="9"/>
      <c r="AS1075" s="9"/>
      <c r="AT1075" s="9"/>
      <c r="AU1075" s="9"/>
      <c r="AV1075" s="9"/>
      <c r="AW1075" s="9"/>
      <c r="AX1075" s="9"/>
    </row>
    <row r="1076" spans="1:50" ht="15.75" customHeight="1" x14ac:dyDescent="0.2">
      <c r="A1076" s="9"/>
      <c r="B1076" s="9"/>
      <c r="C1076" s="9"/>
      <c r="D1076" s="9"/>
      <c r="E1076" s="9"/>
      <c r="F1076" s="9"/>
      <c r="G1076" s="9"/>
      <c r="H1076" s="9"/>
      <c r="I1076" s="9"/>
      <c r="J1076" s="9"/>
      <c r="K1076" s="9"/>
      <c r="L1076" s="9"/>
      <c r="M1076" s="9"/>
      <c r="N1076" s="9"/>
      <c r="O1076" s="212"/>
      <c r="P1076" s="9"/>
      <c r="Q1076" s="9"/>
      <c r="R1076" s="9"/>
      <c r="S1076" s="9"/>
      <c r="T1076" s="9"/>
      <c r="U1076" s="9"/>
      <c r="V1076" s="9"/>
      <c r="W1076" s="9"/>
      <c r="X1076" s="9"/>
      <c r="Y1076" s="9"/>
      <c r="Z1076" s="9"/>
      <c r="AA1076" s="212"/>
      <c r="AB1076" s="9"/>
      <c r="AC1076" s="9"/>
      <c r="AD1076" s="9"/>
      <c r="AE1076" s="9"/>
      <c r="AF1076" s="9"/>
      <c r="AG1076" s="9"/>
      <c r="AH1076" s="9"/>
      <c r="AI1076" s="9"/>
      <c r="AJ1076" s="9"/>
      <c r="AK1076" s="9"/>
      <c r="AL1076" s="9"/>
      <c r="AM1076" s="9"/>
      <c r="AN1076" s="9"/>
      <c r="AO1076" s="9"/>
      <c r="AP1076" s="9"/>
      <c r="AQ1076" s="9"/>
      <c r="AR1076" s="9"/>
      <c r="AS1076" s="9"/>
      <c r="AT1076" s="9"/>
      <c r="AU1076" s="9"/>
      <c r="AV1076" s="9"/>
      <c r="AW1076" s="9"/>
      <c r="AX1076" s="9"/>
    </row>
    <row r="1077" spans="1:50" ht="15.75" customHeight="1" x14ac:dyDescent="0.2">
      <c r="A1077" s="9"/>
      <c r="B1077" s="9"/>
      <c r="C1077" s="9"/>
      <c r="D1077" s="9"/>
      <c r="E1077" s="9"/>
      <c r="F1077" s="9"/>
      <c r="G1077" s="9"/>
      <c r="H1077" s="9"/>
      <c r="I1077" s="9"/>
      <c r="J1077" s="9"/>
      <c r="K1077" s="9"/>
      <c r="L1077" s="9"/>
      <c r="M1077" s="9"/>
      <c r="N1077" s="9"/>
      <c r="O1077" s="212"/>
      <c r="P1077" s="9"/>
      <c r="Q1077" s="9"/>
      <c r="R1077" s="9"/>
      <c r="S1077" s="9"/>
      <c r="T1077" s="9"/>
      <c r="U1077" s="9"/>
      <c r="V1077" s="9"/>
      <c r="W1077" s="9"/>
      <c r="X1077" s="9"/>
      <c r="Y1077" s="9"/>
      <c r="Z1077" s="9"/>
      <c r="AA1077" s="212"/>
      <c r="AB1077" s="9"/>
      <c r="AC1077" s="9"/>
      <c r="AD1077" s="9"/>
      <c r="AE1077" s="9"/>
      <c r="AF1077" s="9"/>
      <c r="AG1077" s="9"/>
      <c r="AH1077" s="9"/>
      <c r="AI1077" s="9"/>
      <c r="AJ1077" s="9"/>
      <c r="AK1077" s="9"/>
      <c r="AL1077" s="9"/>
      <c r="AM1077" s="9"/>
      <c r="AN1077" s="9"/>
      <c r="AO1077" s="9"/>
      <c r="AP1077" s="9"/>
      <c r="AQ1077" s="9"/>
      <c r="AR1077" s="9"/>
      <c r="AS1077" s="9"/>
      <c r="AT1077" s="9"/>
      <c r="AU1077" s="9"/>
      <c r="AV1077" s="9"/>
      <c r="AW1077" s="9"/>
      <c r="AX1077" s="9"/>
    </row>
    <row r="1078" spans="1:50" ht="15.75" customHeight="1" x14ac:dyDescent="0.2">
      <c r="A1078" s="9"/>
      <c r="B1078" s="9"/>
      <c r="C1078" s="9"/>
      <c r="D1078" s="9"/>
      <c r="E1078" s="9"/>
      <c r="F1078" s="9"/>
      <c r="G1078" s="9"/>
      <c r="H1078" s="9"/>
      <c r="I1078" s="9"/>
      <c r="J1078" s="9"/>
      <c r="K1078" s="9"/>
      <c r="L1078" s="9"/>
      <c r="M1078" s="9"/>
      <c r="N1078" s="9"/>
      <c r="O1078" s="212"/>
      <c r="P1078" s="9"/>
      <c r="Q1078" s="9"/>
      <c r="R1078" s="9"/>
      <c r="S1078" s="9"/>
      <c r="T1078" s="9"/>
      <c r="U1078" s="9"/>
      <c r="V1078" s="9"/>
      <c r="W1078" s="9"/>
      <c r="X1078" s="9"/>
      <c r="Y1078" s="9"/>
      <c r="Z1078" s="9"/>
      <c r="AA1078" s="212"/>
      <c r="AB1078" s="9"/>
      <c r="AC1078" s="9"/>
      <c r="AD1078" s="9"/>
      <c r="AE1078" s="9"/>
      <c r="AF1078" s="9"/>
      <c r="AG1078" s="9"/>
      <c r="AH1078" s="9"/>
      <c r="AI1078" s="9"/>
      <c r="AJ1078" s="9"/>
      <c r="AK1078" s="9"/>
      <c r="AL1078" s="9"/>
      <c r="AM1078" s="9"/>
      <c r="AN1078" s="9"/>
      <c r="AO1078" s="9"/>
      <c r="AP1078" s="9"/>
      <c r="AQ1078" s="9"/>
      <c r="AR1078" s="9"/>
      <c r="AS1078" s="9"/>
      <c r="AT1078" s="9"/>
      <c r="AU1078" s="9"/>
      <c r="AV1078" s="9"/>
      <c r="AW1078" s="9"/>
      <c r="AX1078" s="9"/>
    </row>
    <row r="1079" spans="1:50" ht="15.75" customHeight="1" x14ac:dyDescent="0.2">
      <c r="A1079" s="9"/>
      <c r="B1079" s="9"/>
      <c r="C1079" s="9"/>
      <c r="D1079" s="9"/>
      <c r="E1079" s="9"/>
      <c r="F1079" s="9"/>
      <c r="G1079" s="9"/>
      <c r="H1079" s="9"/>
      <c r="I1079" s="9"/>
      <c r="J1079" s="9"/>
      <c r="K1079" s="9"/>
      <c r="L1079" s="9"/>
      <c r="M1079" s="9"/>
      <c r="N1079" s="9"/>
      <c r="O1079" s="212"/>
      <c r="P1079" s="9"/>
      <c r="Q1079" s="9"/>
      <c r="R1079" s="9"/>
      <c r="S1079" s="9"/>
      <c r="T1079" s="9"/>
      <c r="U1079" s="9"/>
      <c r="V1079" s="9"/>
      <c r="W1079" s="9"/>
      <c r="X1079" s="9"/>
      <c r="Y1079" s="9"/>
      <c r="Z1079" s="9"/>
      <c r="AA1079" s="212"/>
      <c r="AB1079" s="9"/>
      <c r="AC1079" s="9"/>
      <c r="AD1079" s="9"/>
      <c r="AE1079" s="9"/>
      <c r="AF1079" s="9"/>
      <c r="AG1079" s="9"/>
      <c r="AH1079" s="9"/>
      <c r="AI1079" s="9"/>
      <c r="AJ1079" s="9"/>
      <c r="AK1079" s="9"/>
      <c r="AL1079" s="9"/>
      <c r="AM1079" s="9"/>
      <c r="AN1079" s="9"/>
      <c r="AO1079" s="9"/>
      <c r="AP1079" s="9"/>
      <c r="AQ1079" s="9"/>
      <c r="AR1079" s="9"/>
      <c r="AS1079" s="9"/>
      <c r="AT1079" s="9"/>
      <c r="AU1079" s="9"/>
      <c r="AV1079" s="9"/>
      <c r="AW1079" s="9"/>
      <c r="AX1079" s="9"/>
    </row>
    <row r="1080" spans="1:50" ht="15.75" customHeight="1" x14ac:dyDescent="0.2">
      <c r="A1080" s="9"/>
      <c r="B1080" s="9"/>
      <c r="C1080" s="9"/>
      <c r="D1080" s="9"/>
      <c r="E1080" s="9"/>
      <c r="F1080" s="9"/>
      <c r="G1080" s="9"/>
      <c r="H1080" s="9"/>
      <c r="I1080" s="9"/>
      <c r="J1080" s="9"/>
      <c r="K1080" s="9"/>
      <c r="L1080" s="9"/>
      <c r="M1080" s="9"/>
      <c r="N1080" s="9"/>
      <c r="O1080" s="212"/>
      <c r="P1080" s="9"/>
      <c r="Q1080" s="9"/>
      <c r="R1080" s="9"/>
      <c r="S1080" s="9"/>
      <c r="T1080" s="9"/>
      <c r="U1080" s="9"/>
      <c r="V1080" s="9"/>
      <c r="W1080" s="9"/>
      <c r="X1080" s="9"/>
      <c r="Y1080" s="9"/>
      <c r="Z1080" s="9"/>
      <c r="AA1080" s="212"/>
      <c r="AB1080" s="9"/>
      <c r="AC1080" s="9"/>
      <c r="AD1080" s="9"/>
      <c r="AE1080" s="9"/>
      <c r="AF1080" s="9"/>
      <c r="AG1080" s="9"/>
      <c r="AH1080" s="9"/>
      <c r="AI1080" s="9"/>
      <c r="AJ1080" s="9"/>
      <c r="AK1080" s="9"/>
      <c r="AL1080" s="9"/>
      <c r="AM1080" s="9"/>
      <c r="AN1080" s="9"/>
      <c r="AO1080" s="9"/>
      <c r="AP1080" s="9"/>
      <c r="AQ1080" s="9"/>
      <c r="AR1080" s="9"/>
      <c r="AS1080" s="9"/>
      <c r="AT1080" s="9"/>
      <c r="AU1080" s="9"/>
      <c r="AV1080" s="9"/>
      <c r="AW1080" s="9"/>
      <c r="AX1080" s="9"/>
    </row>
    <row r="1081" spans="1:50" ht="15.75" customHeight="1" x14ac:dyDescent="0.2">
      <c r="A1081" s="9"/>
      <c r="B1081" s="9"/>
      <c r="C1081" s="9"/>
      <c r="D1081" s="9"/>
      <c r="E1081" s="9"/>
      <c r="F1081" s="9"/>
      <c r="G1081" s="9"/>
      <c r="H1081" s="9"/>
      <c r="I1081" s="9"/>
      <c r="J1081" s="9"/>
      <c r="K1081" s="9"/>
      <c r="L1081" s="9"/>
      <c r="M1081" s="9"/>
      <c r="N1081" s="9"/>
      <c r="O1081" s="212"/>
      <c r="P1081" s="9"/>
      <c r="Q1081" s="9"/>
      <c r="R1081" s="9"/>
      <c r="S1081" s="9"/>
      <c r="T1081" s="9"/>
      <c r="U1081" s="9"/>
      <c r="V1081" s="9"/>
      <c r="W1081" s="9"/>
      <c r="X1081" s="9"/>
      <c r="Y1081" s="9"/>
      <c r="Z1081" s="9"/>
      <c r="AA1081" s="212"/>
      <c r="AB1081" s="9"/>
      <c r="AC1081" s="9"/>
      <c r="AD1081" s="9"/>
      <c r="AE1081" s="9"/>
      <c r="AF1081" s="9"/>
      <c r="AG1081" s="9"/>
      <c r="AH1081" s="9"/>
      <c r="AI1081" s="9"/>
      <c r="AJ1081" s="9"/>
      <c r="AK1081" s="9"/>
      <c r="AL1081" s="9"/>
      <c r="AM1081" s="9"/>
      <c r="AN1081" s="9"/>
      <c r="AO1081" s="9"/>
      <c r="AP1081" s="9"/>
      <c r="AQ1081" s="9"/>
      <c r="AR1081" s="9"/>
      <c r="AS1081" s="9"/>
      <c r="AT1081" s="9"/>
      <c r="AU1081" s="9"/>
      <c r="AV1081" s="9"/>
      <c r="AW1081" s="9"/>
      <c r="AX1081" s="9"/>
    </row>
    <row r="1082" spans="1:50" ht="15.75" customHeight="1" x14ac:dyDescent="0.2">
      <c r="A1082" s="9"/>
      <c r="B1082" s="9"/>
      <c r="C1082" s="9"/>
      <c r="D1082" s="9"/>
      <c r="E1082" s="9"/>
      <c r="F1082" s="9"/>
      <c r="G1082" s="9"/>
      <c r="H1082" s="9"/>
      <c r="I1082" s="9"/>
      <c r="J1082" s="9"/>
      <c r="K1082" s="9"/>
      <c r="L1082" s="9"/>
      <c r="M1082" s="9"/>
      <c r="N1082" s="9"/>
      <c r="O1082" s="212"/>
      <c r="P1082" s="9"/>
      <c r="Q1082" s="9"/>
      <c r="R1082" s="9"/>
      <c r="S1082" s="9"/>
      <c r="T1082" s="9"/>
      <c r="U1082" s="9"/>
      <c r="V1082" s="9"/>
      <c r="W1082" s="9"/>
      <c r="X1082" s="9"/>
      <c r="Y1082" s="9"/>
      <c r="Z1082" s="9"/>
      <c r="AA1082" s="212"/>
      <c r="AB1082" s="9"/>
      <c r="AC1082" s="9"/>
      <c r="AD1082" s="9"/>
      <c r="AE1082" s="9"/>
      <c r="AF1082" s="9"/>
      <c r="AG1082" s="9"/>
      <c r="AH1082" s="9"/>
      <c r="AI1082" s="9"/>
      <c r="AJ1082" s="9"/>
      <c r="AK1082" s="9"/>
      <c r="AL1082" s="9"/>
      <c r="AM1082" s="9"/>
      <c r="AN1082" s="9"/>
      <c r="AO1082" s="9"/>
      <c r="AP1082" s="9"/>
      <c r="AQ1082" s="9"/>
      <c r="AR1082" s="9"/>
      <c r="AS1082" s="9"/>
      <c r="AT1082" s="9"/>
      <c r="AU1082" s="9"/>
      <c r="AV1082" s="9"/>
      <c r="AW1082" s="9"/>
      <c r="AX1082" s="9"/>
    </row>
    <row r="1083" spans="1:50" ht="15.75" customHeight="1" x14ac:dyDescent="0.2">
      <c r="A1083" s="9"/>
      <c r="B1083" s="9"/>
      <c r="C1083" s="9"/>
      <c r="D1083" s="9"/>
      <c r="E1083" s="9"/>
      <c r="F1083" s="9"/>
      <c r="G1083" s="9"/>
      <c r="H1083" s="9"/>
      <c r="I1083" s="9"/>
      <c r="J1083" s="9"/>
      <c r="K1083" s="9"/>
      <c r="L1083" s="9"/>
      <c r="M1083" s="9"/>
      <c r="N1083" s="9"/>
      <c r="O1083" s="212"/>
      <c r="P1083" s="9"/>
      <c r="Q1083" s="9"/>
      <c r="R1083" s="9"/>
      <c r="S1083" s="9"/>
      <c r="T1083" s="9"/>
      <c r="U1083" s="9"/>
      <c r="V1083" s="9"/>
      <c r="W1083" s="9"/>
      <c r="X1083" s="9"/>
      <c r="Y1083" s="9"/>
      <c r="Z1083" s="9"/>
      <c r="AA1083" s="212"/>
      <c r="AB1083" s="9"/>
      <c r="AC1083" s="9"/>
      <c r="AD1083" s="9"/>
      <c r="AE1083" s="9"/>
      <c r="AF1083" s="9"/>
      <c r="AG1083" s="9"/>
      <c r="AH1083" s="9"/>
      <c r="AI1083" s="9"/>
      <c r="AJ1083" s="9"/>
      <c r="AK1083" s="9"/>
      <c r="AL1083" s="9"/>
      <c r="AM1083" s="9"/>
      <c r="AN1083" s="9"/>
      <c r="AO1083" s="9"/>
      <c r="AP1083" s="9"/>
      <c r="AQ1083" s="9"/>
      <c r="AR1083" s="9"/>
      <c r="AS1083" s="9"/>
      <c r="AT1083" s="9"/>
      <c r="AU1083" s="9"/>
      <c r="AV1083" s="9"/>
      <c r="AW1083" s="9"/>
      <c r="AX1083" s="9"/>
    </row>
    <row r="1084" spans="1:50" ht="15.75" customHeight="1" x14ac:dyDescent="0.2">
      <c r="A1084" s="9"/>
      <c r="B1084" s="9"/>
      <c r="C1084" s="9"/>
      <c r="D1084" s="9"/>
      <c r="E1084" s="9"/>
      <c r="F1084" s="9"/>
      <c r="G1084" s="9"/>
      <c r="H1084" s="9"/>
      <c r="I1084" s="9"/>
      <c r="J1084" s="9"/>
      <c r="K1084" s="9"/>
      <c r="L1084" s="9"/>
      <c r="M1084" s="9"/>
      <c r="N1084" s="9"/>
      <c r="O1084" s="212"/>
      <c r="P1084" s="9"/>
      <c r="Q1084" s="9"/>
      <c r="R1084" s="9"/>
      <c r="S1084" s="9"/>
      <c r="T1084" s="9"/>
      <c r="U1084" s="9"/>
      <c r="V1084" s="9"/>
      <c r="W1084" s="9"/>
      <c r="X1084" s="9"/>
      <c r="Y1084" s="9"/>
      <c r="Z1084" s="9"/>
      <c r="AA1084" s="212"/>
      <c r="AB1084" s="9"/>
      <c r="AC1084" s="9"/>
      <c r="AD1084" s="9"/>
      <c r="AE1084" s="9"/>
      <c r="AF1084" s="9"/>
      <c r="AG1084" s="9"/>
      <c r="AH1084" s="9"/>
      <c r="AI1084" s="9"/>
      <c r="AJ1084" s="9"/>
      <c r="AK1084" s="9"/>
      <c r="AL1084" s="9"/>
      <c r="AM1084" s="9"/>
      <c r="AN1084" s="9"/>
      <c r="AO1084" s="9"/>
      <c r="AP1084" s="9"/>
      <c r="AQ1084" s="9"/>
      <c r="AR1084" s="9"/>
      <c r="AS1084" s="9"/>
      <c r="AT1084" s="9"/>
      <c r="AU1084" s="9"/>
      <c r="AV1084" s="9"/>
      <c r="AW1084" s="9"/>
      <c r="AX1084" s="9"/>
    </row>
    <row r="1085" spans="1:50" ht="15.75" customHeight="1" x14ac:dyDescent="0.2">
      <c r="A1085" s="9"/>
      <c r="B1085" s="9"/>
      <c r="C1085" s="9"/>
      <c r="D1085" s="9"/>
      <c r="E1085" s="9"/>
      <c r="F1085" s="9"/>
      <c r="G1085" s="9"/>
      <c r="H1085" s="9"/>
      <c r="I1085" s="9"/>
      <c r="J1085" s="9"/>
      <c r="K1085" s="9"/>
      <c r="L1085" s="9"/>
      <c r="M1085" s="9"/>
      <c r="N1085" s="9"/>
      <c r="O1085" s="212"/>
      <c r="P1085" s="9"/>
      <c r="Q1085" s="9"/>
      <c r="R1085" s="9"/>
      <c r="S1085" s="9"/>
      <c r="T1085" s="9"/>
      <c r="U1085" s="9"/>
      <c r="V1085" s="9"/>
      <c r="W1085" s="9"/>
      <c r="X1085" s="9"/>
      <c r="Y1085" s="9"/>
      <c r="Z1085" s="9"/>
      <c r="AA1085" s="212"/>
      <c r="AB1085" s="9"/>
      <c r="AC1085" s="9"/>
      <c r="AD1085" s="9"/>
      <c r="AE1085" s="9"/>
      <c r="AF1085" s="9"/>
      <c r="AG1085" s="9"/>
      <c r="AH1085" s="9"/>
      <c r="AI1085" s="9"/>
      <c r="AJ1085" s="9"/>
      <c r="AK1085" s="9"/>
      <c r="AL1085" s="9"/>
      <c r="AM1085" s="9"/>
      <c r="AN1085" s="9"/>
      <c r="AO1085" s="9"/>
      <c r="AP1085" s="9"/>
      <c r="AQ1085" s="9"/>
      <c r="AR1085" s="9"/>
      <c r="AS1085" s="9"/>
      <c r="AT1085" s="9"/>
      <c r="AU1085" s="9"/>
      <c r="AV1085" s="9"/>
      <c r="AW1085" s="9"/>
      <c r="AX1085" s="9"/>
    </row>
    <row r="1086" spans="1:50" ht="15.75" customHeight="1" x14ac:dyDescent="0.2">
      <c r="A1086" s="9"/>
      <c r="B1086" s="9"/>
      <c r="C1086" s="9"/>
      <c r="D1086" s="9"/>
      <c r="E1086" s="9"/>
      <c r="F1086" s="9"/>
      <c r="G1086" s="9"/>
      <c r="H1086" s="9"/>
      <c r="I1086" s="9"/>
      <c r="J1086" s="9"/>
      <c r="K1086" s="9"/>
      <c r="L1086" s="9"/>
      <c r="M1086" s="9"/>
      <c r="N1086" s="9"/>
      <c r="O1086" s="212"/>
      <c r="P1086" s="9"/>
      <c r="Q1086" s="9"/>
      <c r="R1086" s="9"/>
      <c r="S1086" s="9"/>
      <c r="T1086" s="9"/>
      <c r="U1086" s="9"/>
      <c r="V1086" s="9"/>
      <c r="W1086" s="9"/>
      <c r="X1086" s="9"/>
      <c r="Y1086" s="9"/>
      <c r="Z1086" s="9"/>
      <c r="AA1086" s="212"/>
      <c r="AB1086" s="9"/>
      <c r="AC1086" s="9"/>
      <c r="AD1086" s="9"/>
      <c r="AE1086" s="9"/>
      <c r="AF1086" s="9"/>
      <c r="AG1086" s="9"/>
      <c r="AH1086" s="9"/>
      <c r="AI1086" s="9"/>
      <c r="AJ1086" s="9"/>
      <c r="AK1086" s="9"/>
      <c r="AL1086" s="9"/>
      <c r="AM1086" s="9"/>
      <c r="AN1086" s="9"/>
      <c r="AO1086" s="9"/>
      <c r="AP1086" s="9"/>
      <c r="AQ1086" s="9"/>
      <c r="AR1086" s="9"/>
      <c r="AS1086" s="9"/>
      <c r="AT1086" s="9"/>
      <c r="AU1086" s="9"/>
      <c r="AV1086" s="9"/>
      <c r="AW1086" s="9"/>
      <c r="AX1086" s="9"/>
    </row>
    <row r="1087" spans="1:50" ht="15.75" customHeight="1" x14ac:dyDescent="0.2">
      <c r="A1087" s="9"/>
      <c r="B1087" s="9"/>
      <c r="C1087" s="9"/>
      <c r="D1087" s="9"/>
      <c r="E1087" s="9"/>
      <c r="F1087" s="9"/>
      <c r="G1087" s="9"/>
      <c r="H1087" s="9"/>
      <c r="I1087" s="9"/>
      <c r="J1087" s="9"/>
      <c r="K1087" s="9"/>
      <c r="L1087" s="9"/>
      <c r="M1087" s="9"/>
      <c r="N1087" s="9"/>
      <c r="O1087" s="212"/>
      <c r="P1087" s="9"/>
      <c r="Q1087" s="9"/>
      <c r="R1087" s="9"/>
      <c r="S1087" s="9"/>
      <c r="T1087" s="9"/>
      <c r="U1087" s="9"/>
      <c r="V1087" s="9"/>
      <c r="W1087" s="9"/>
      <c r="X1087" s="9"/>
      <c r="Y1087" s="9"/>
      <c r="Z1087" s="9"/>
      <c r="AA1087" s="212"/>
      <c r="AB1087" s="9"/>
      <c r="AC1087" s="9"/>
      <c r="AD1087" s="9"/>
      <c r="AE1087" s="9"/>
      <c r="AF1087" s="9"/>
      <c r="AG1087" s="9"/>
      <c r="AH1087" s="9"/>
      <c r="AI1087" s="9"/>
      <c r="AJ1087" s="9"/>
      <c r="AK1087" s="9"/>
      <c r="AL1087" s="9"/>
      <c r="AM1087" s="9"/>
      <c r="AN1087" s="9"/>
      <c r="AO1087" s="9"/>
      <c r="AP1087" s="9"/>
      <c r="AQ1087" s="9"/>
      <c r="AR1087" s="9"/>
      <c r="AS1087" s="9"/>
      <c r="AT1087" s="9"/>
      <c r="AU1087" s="9"/>
      <c r="AV1087" s="9"/>
      <c r="AW1087" s="9"/>
      <c r="AX1087" s="9"/>
    </row>
    <row r="1088" spans="1:50" ht="15.75" customHeight="1" x14ac:dyDescent="0.2">
      <c r="A1088" s="9"/>
      <c r="B1088" s="9"/>
      <c r="C1088" s="9"/>
      <c r="D1088" s="9"/>
      <c r="E1088" s="9"/>
      <c r="F1088" s="9"/>
      <c r="G1088" s="9"/>
      <c r="H1088" s="9"/>
      <c r="I1088" s="9"/>
      <c r="J1088" s="9"/>
      <c r="K1088" s="9"/>
      <c r="L1088" s="9"/>
      <c r="M1088" s="9"/>
      <c r="N1088" s="9"/>
      <c r="O1088" s="212"/>
      <c r="P1088" s="9"/>
      <c r="Q1088" s="9"/>
      <c r="R1088" s="9"/>
      <c r="S1088" s="9"/>
      <c r="T1088" s="9"/>
      <c r="U1088" s="9"/>
      <c r="V1088" s="9"/>
      <c r="W1088" s="9"/>
      <c r="X1088" s="9"/>
      <c r="Y1088" s="9"/>
      <c r="Z1088" s="9"/>
      <c r="AA1088" s="212"/>
      <c r="AB1088" s="9"/>
      <c r="AC1088" s="9"/>
      <c r="AD1088" s="9"/>
      <c r="AE1088" s="9"/>
      <c r="AF1088" s="9"/>
      <c r="AG1088" s="9"/>
      <c r="AH1088" s="9"/>
      <c r="AI1088" s="9"/>
      <c r="AJ1088" s="9"/>
      <c r="AK1088" s="9"/>
      <c r="AL1088" s="9"/>
      <c r="AM1088" s="9"/>
      <c r="AN1088" s="9"/>
      <c r="AO1088" s="9"/>
      <c r="AP1088" s="9"/>
      <c r="AQ1088" s="9"/>
      <c r="AR1088" s="9"/>
      <c r="AS1088" s="9"/>
      <c r="AT1088" s="9"/>
      <c r="AU1088" s="9"/>
      <c r="AV1088" s="9"/>
      <c r="AW1088" s="9"/>
      <c r="AX1088" s="9"/>
    </row>
    <row r="1089" spans="1:50" ht="15.75" customHeight="1" x14ac:dyDescent="0.2">
      <c r="A1089" s="9"/>
      <c r="B1089" s="9"/>
      <c r="C1089" s="9"/>
      <c r="D1089" s="9"/>
      <c r="E1089" s="9"/>
      <c r="F1089" s="9"/>
      <c r="G1089" s="9"/>
      <c r="H1089" s="9"/>
      <c r="I1089" s="9"/>
      <c r="J1089" s="9"/>
      <c r="K1089" s="9"/>
      <c r="L1089" s="9"/>
      <c r="M1089" s="9"/>
      <c r="N1089" s="9"/>
      <c r="O1089" s="212"/>
      <c r="P1089" s="9"/>
      <c r="Q1089" s="9"/>
      <c r="R1089" s="9"/>
      <c r="S1089" s="9"/>
      <c r="T1089" s="9"/>
      <c r="U1089" s="9"/>
      <c r="V1089" s="9"/>
      <c r="W1089" s="9"/>
      <c r="X1089" s="9"/>
      <c r="Y1089" s="9"/>
      <c r="Z1089" s="9"/>
      <c r="AA1089" s="212"/>
      <c r="AB1089" s="9"/>
      <c r="AC1089" s="9"/>
      <c r="AD1089" s="9"/>
      <c r="AE1089" s="9"/>
      <c r="AF1089" s="9"/>
      <c r="AG1089" s="9"/>
      <c r="AH1089" s="9"/>
      <c r="AI1089" s="9"/>
      <c r="AJ1089" s="9"/>
      <c r="AK1089" s="9"/>
      <c r="AL1089" s="9"/>
      <c r="AM1089" s="9"/>
      <c r="AN1089" s="9"/>
      <c r="AO1089" s="9"/>
      <c r="AP1089" s="9"/>
      <c r="AQ1089" s="9"/>
      <c r="AR1089" s="9"/>
      <c r="AS1089" s="9"/>
      <c r="AT1089" s="9"/>
      <c r="AU1089" s="9"/>
      <c r="AV1089" s="9"/>
      <c r="AW1089" s="9"/>
      <c r="AX1089" s="9"/>
    </row>
    <row r="1090" spans="1:50" ht="15.75" customHeight="1" x14ac:dyDescent="0.2">
      <c r="A1090" s="9"/>
      <c r="B1090" s="9"/>
      <c r="C1090" s="9"/>
      <c r="D1090" s="9"/>
      <c r="E1090" s="9"/>
      <c r="F1090" s="9"/>
      <c r="G1090" s="9"/>
      <c r="H1090" s="9"/>
      <c r="I1090" s="9"/>
      <c r="J1090" s="9"/>
      <c r="K1090" s="9"/>
      <c r="L1090" s="9"/>
      <c r="M1090" s="9"/>
      <c r="N1090" s="9"/>
      <c r="O1090" s="212"/>
      <c r="P1090" s="9"/>
      <c r="Q1090" s="9"/>
      <c r="R1090" s="9"/>
      <c r="S1090" s="9"/>
      <c r="T1090" s="9"/>
      <c r="U1090" s="9"/>
      <c r="V1090" s="9"/>
      <c r="W1090" s="9"/>
      <c r="X1090" s="9"/>
      <c r="Y1090" s="9"/>
      <c r="Z1090" s="9"/>
      <c r="AA1090" s="212"/>
      <c r="AB1090" s="9"/>
      <c r="AC1090" s="9"/>
      <c r="AD1090" s="9"/>
      <c r="AE1090" s="9"/>
      <c r="AF1090" s="9"/>
      <c r="AG1090" s="9"/>
      <c r="AH1090" s="9"/>
      <c r="AI1090" s="9"/>
      <c r="AJ1090" s="9"/>
      <c r="AK1090" s="9"/>
      <c r="AL1090" s="9"/>
      <c r="AM1090" s="9"/>
      <c r="AN1090" s="9"/>
      <c r="AO1090" s="9"/>
      <c r="AP1090" s="9"/>
      <c r="AQ1090" s="9"/>
      <c r="AR1090" s="9"/>
      <c r="AS1090" s="9"/>
      <c r="AT1090" s="9"/>
      <c r="AU1090" s="9"/>
      <c r="AV1090" s="9"/>
      <c r="AW1090" s="9"/>
      <c r="AX1090" s="9"/>
    </row>
    <row r="1091" spans="1:50" ht="15.75" customHeight="1" x14ac:dyDescent="0.2">
      <c r="A1091" s="9"/>
      <c r="B1091" s="9"/>
      <c r="C1091" s="9"/>
      <c r="D1091" s="9"/>
      <c r="E1091" s="9"/>
      <c r="F1091" s="9"/>
      <c r="G1091" s="9"/>
      <c r="H1091" s="9"/>
      <c r="I1091" s="9"/>
      <c r="J1091" s="9"/>
      <c r="K1091" s="9"/>
      <c r="L1091" s="9"/>
      <c r="M1091" s="9"/>
      <c r="N1091" s="9"/>
      <c r="O1091" s="212"/>
      <c r="P1091" s="9"/>
      <c r="Q1091" s="9"/>
      <c r="R1091" s="9"/>
      <c r="S1091" s="9"/>
      <c r="T1091" s="9"/>
      <c r="U1091" s="9"/>
      <c r="V1091" s="9"/>
      <c r="W1091" s="9"/>
      <c r="X1091" s="9"/>
      <c r="Y1091" s="9"/>
      <c r="Z1091" s="9"/>
      <c r="AA1091" s="212"/>
      <c r="AB1091" s="9"/>
      <c r="AC1091" s="9"/>
      <c r="AD1091" s="9"/>
      <c r="AE1091" s="9"/>
      <c r="AF1091" s="9"/>
      <c r="AG1091" s="9"/>
      <c r="AH1091" s="9"/>
      <c r="AI1091" s="9"/>
      <c r="AJ1091" s="9"/>
      <c r="AK1091" s="9"/>
      <c r="AL1091" s="9"/>
      <c r="AM1091" s="9"/>
      <c r="AN1091" s="9"/>
      <c r="AO1091" s="9"/>
      <c r="AP1091" s="9"/>
      <c r="AQ1091" s="9"/>
      <c r="AR1091" s="9"/>
      <c r="AS1091" s="9"/>
      <c r="AT1091" s="9"/>
      <c r="AU1091" s="9"/>
      <c r="AV1091" s="9"/>
      <c r="AW1091" s="9"/>
      <c r="AX1091" s="9"/>
    </row>
    <row r="1092" spans="1:50" ht="15.75" customHeight="1" x14ac:dyDescent="0.2">
      <c r="A1092" s="9"/>
      <c r="B1092" s="9"/>
      <c r="C1092" s="9"/>
      <c r="D1092" s="9"/>
      <c r="E1092" s="9"/>
      <c r="F1092" s="9"/>
      <c r="G1092" s="9"/>
      <c r="H1092" s="9"/>
      <c r="I1092" s="9"/>
      <c r="J1092" s="9"/>
      <c r="K1092" s="9"/>
      <c r="L1092" s="9"/>
      <c r="M1092" s="9"/>
      <c r="N1092" s="9"/>
      <c r="O1092" s="212"/>
      <c r="P1092" s="9"/>
      <c r="Q1092" s="9"/>
      <c r="R1092" s="9"/>
      <c r="S1092" s="9"/>
      <c r="T1092" s="9"/>
      <c r="U1092" s="9"/>
      <c r="V1092" s="9"/>
      <c r="W1092" s="9"/>
      <c r="X1092" s="9"/>
      <c r="Y1092" s="9"/>
      <c r="Z1092" s="9"/>
      <c r="AA1092" s="212"/>
      <c r="AB1092" s="9"/>
      <c r="AC1092" s="9"/>
      <c r="AD1092" s="9"/>
      <c r="AE1092" s="9"/>
      <c r="AF1092" s="9"/>
      <c r="AG1092" s="9"/>
      <c r="AH1092" s="9"/>
      <c r="AI1092" s="9"/>
      <c r="AJ1092" s="9"/>
      <c r="AK1092" s="9"/>
      <c r="AL1092" s="9"/>
      <c r="AM1092" s="9"/>
      <c r="AN1092" s="9"/>
      <c r="AO1092" s="9"/>
      <c r="AP1092" s="9"/>
      <c r="AQ1092" s="9"/>
      <c r="AR1092" s="9"/>
      <c r="AS1092" s="9"/>
      <c r="AT1092" s="9"/>
      <c r="AU1092" s="9"/>
      <c r="AV1092" s="9"/>
      <c r="AW1092" s="9"/>
      <c r="AX1092" s="9"/>
    </row>
    <row r="1093" spans="1:50" ht="15.75" customHeight="1" x14ac:dyDescent="0.2">
      <c r="A1093" s="9"/>
      <c r="B1093" s="9"/>
      <c r="C1093" s="9"/>
      <c r="D1093" s="9"/>
      <c r="E1093" s="9"/>
      <c r="F1093" s="9"/>
      <c r="G1093" s="9"/>
      <c r="H1093" s="9"/>
      <c r="I1093" s="9"/>
      <c r="J1093" s="9"/>
      <c r="K1093" s="9"/>
      <c r="L1093" s="9"/>
      <c r="M1093" s="9"/>
      <c r="N1093" s="9"/>
      <c r="O1093" s="212"/>
      <c r="P1093" s="9"/>
      <c r="Q1093" s="9"/>
      <c r="R1093" s="9"/>
      <c r="S1093" s="9"/>
      <c r="T1093" s="9"/>
      <c r="U1093" s="9"/>
      <c r="V1093" s="9"/>
      <c r="W1093" s="9"/>
      <c r="X1093" s="9"/>
      <c r="Y1093" s="9"/>
      <c r="Z1093" s="9"/>
      <c r="AA1093" s="212"/>
      <c r="AB1093" s="9"/>
      <c r="AC1093" s="9"/>
      <c r="AD1093" s="9"/>
      <c r="AE1093" s="9"/>
      <c r="AF1093" s="9"/>
      <c r="AG1093" s="9"/>
      <c r="AH1093" s="9"/>
      <c r="AI1093" s="9"/>
      <c r="AJ1093" s="9"/>
      <c r="AK1093" s="9"/>
      <c r="AL1093" s="9"/>
      <c r="AM1093" s="9"/>
      <c r="AN1093" s="9"/>
      <c r="AO1093" s="9"/>
      <c r="AP1093" s="9"/>
      <c r="AQ1093" s="9"/>
      <c r="AR1093" s="9"/>
      <c r="AS1093" s="9"/>
      <c r="AT1093" s="9"/>
      <c r="AU1093" s="9"/>
      <c r="AV1093" s="9"/>
      <c r="AW1093" s="9"/>
      <c r="AX1093" s="9"/>
    </row>
    <row r="1094" spans="1:50" ht="15.75" customHeight="1" x14ac:dyDescent="0.2">
      <c r="A1094" s="9"/>
      <c r="B1094" s="9"/>
      <c r="C1094" s="9"/>
      <c r="D1094" s="9"/>
      <c r="E1094" s="9"/>
      <c r="F1094" s="9"/>
      <c r="G1094" s="9"/>
      <c r="H1094" s="9"/>
      <c r="I1094" s="9"/>
      <c r="J1094" s="9"/>
      <c r="K1094" s="9"/>
      <c r="L1094" s="9"/>
      <c r="M1094" s="9"/>
      <c r="N1094" s="9"/>
      <c r="O1094" s="212"/>
      <c r="P1094" s="9"/>
      <c r="Q1094" s="9"/>
      <c r="R1094" s="9"/>
      <c r="S1094" s="9"/>
      <c r="T1094" s="9"/>
      <c r="U1094" s="9"/>
      <c r="V1094" s="9"/>
      <c r="W1094" s="9"/>
      <c r="X1094" s="9"/>
      <c r="Y1094" s="9"/>
      <c r="Z1094" s="9"/>
      <c r="AA1094" s="212"/>
      <c r="AB1094" s="9"/>
      <c r="AC1094" s="9"/>
      <c r="AD1094" s="9"/>
      <c r="AE1094" s="9"/>
      <c r="AF1094" s="9"/>
      <c r="AG1094" s="9"/>
      <c r="AH1094" s="9"/>
      <c r="AI1094" s="9"/>
      <c r="AJ1094" s="9"/>
      <c r="AK1094" s="9"/>
      <c r="AL1094" s="9"/>
      <c r="AM1094" s="9"/>
      <c r="AN1094" s="9"/>
      <c r="AO1094" s="9"/>
      <c r="AP1094" s="9"/>
      <c r="AQ1094" s="9"/>
      <c r="AR1094" s="9"/>
      <c r="AS1094" s="9"/>
      <c r="AT1094" s="9"/>
      <c r="AU1094" s="9"/>
      <c r="AV1094" s="9"/>
      <c r="AW1094" s="9"/>
      <c r="AX1094" s="9"/>
    </row>
    <row r="1095" spans="1:50" ht="15.75" customHeight="1" x14ac:dyDescent="0.2">
      <c r="A1095" s="9"/>
      <c r="B1095" s="9"/>
      <c r="C1095" s="9"/>
      <c r="D1095" s="9"/>
      <c r="E1095" s="9"/>
      <c r="F1095" s="9"/>
      <c r="G1095" s="9"/>
      <c r="H1095" s="9"/>
      <c r="I1095" s="9"/>
      <c r="J1095" s="9"/>
      <c r="K1095" s="9"/>
      <c r="L1095" s="9"/>
      <c r="M1095" s="9"/>
      <c r="N1095" s="9"/>
      <c r="O1095" s="212"/>
      <c r="P1095" s="9"/>
      <c r="Q1095" s="9"/>
      <c r="R1095" s="9"/>
      <c r="S1095" s="9"/>
      <c r="T1095" s="9"/>
      <c r="U1095" s="9"/>
      <c r="V1095" s="9"/>
      <c r="W1095" s="9"/>
      <c r="X1095" s="9"/>
      <c r="Y1095" s="9"/>
      <c r="Z1095" s="9"/>
      <c r="AA1095" s="212"/>
      <c r="AB1095" s="9"/>
      <c r="AC1095" s="9"/>
      <c r="AD1095" s="9"/>
      <c r="AE1095" s="9"/>
      <c r="AF1095" s="9"/>
      <c r="AG1095" s="9"/>
      <c r="AH1095" s="9"/>
      <c r="AI1095" s="9"/>
      <c r="AJ1095" s="9"/>
      <c r="AK1095" s="9"/>
      <c r="AL1095" s="9"/>
      <c r="AM1095" s="9"/>
      <c r="AN1095" s="9"/>
      <c r="AO1095" s="9"/>
      <c r="AP1095" s="9"/>
      <c r="AQ1095" s="9"/>
      <c r="AR1095" s="9"/>
      <c r="AS1095" s="9"/>
      <c r="AT1095" s="9"/>
      <c r="AU1095" s="9"/>
      <c r="AV1095" s="9"/>
      <c r="AW1095" s="9"/>
      <c r="AX1095" s="9"/>
    </row>
    <row r="1096" spans="1:50" ht="15.75" customHeight="1" x14ac:dyDescent="0.2">
      <c r="A1096" s="9"/>
      <c r="B1096" s="9"/>
      <c r="C1096" s="9"/>
      <c r="D1096" s="9"/>
      <c r="E1096" s="9"/>
      <c r="F1096" s="9"/>
      <c r="G1096" s="9"/>
      <c r="H1096" s="9"/>
      <c r="I1096" s="9"/>
      <c r="J1096" s="9"/>
      <c r="K1096" s="9"/>
      <c r="L1096" s="9"/>
      <c r="M1096" s="9"/>
      <c r="N1096" s="9"/>
      <c r="O1096" s="212"/>
      <c r="P1096" s="9"/>
      <c r="Q1096" s="9"/>
      <c r="R1096" s="9"/>
      <c r="S1096" s="9"/>
      <c r="T1096" s="9"/>
      <c r="U1096" s="9"/>
      <c r="V1096" s="9"/>
      <c r="W1096" s="9"/>
      <c r="X1096" s="9"/>
      <c r="Y1096" s="9"/>
      <c r="Z1096" s="9"/>
      <c r="AA1096" s="212"/>
      <c r="AB1096" s="9"/>
      <c r="AC1096" s="9"/>
      <c r="AD1096" s="9"/>
      <c r="AE1096" s="9"/>
      <c r="AF1096" s="9"/>
      <c r="AG1096" s="9"/>
      <c r="AH1096" s="9"/>
      <c r="AI1096" s="9"/>
      <c r="AJ1096" s="9"/>
      <c r="AK1096" s="9"/>
      <c r="AL1096" s="9"/>
      <c r="AM1096" s="9"/>
      <c r="AN1096" s="9"/>
      <c r="AO1096" s="9"/>
      <c r="AP1096" s="9"/>
      <c r="AQ1096" s="9"/>
      <c r="AR1096" s="9"/>
      <c r="AS1096" s="9"/>
      <c r="AT1096" s="9"/>
      <c r="AU1096" s="9"/>
      <c r="AV1096" s="9"/>
      <c r="AW1096" s="9"/>
      <c r="AX1096" s="9"/>
    </row>
    <row r="1097" spans="1:50" ht="15.75" customHeight="1" x14ac:dyDescent="0.2">
      <c r="A1097" s="9"/>
      <c r="B1097" s="9"/>
      <c r="C1097" s="9"/>
      <c r="D1097" s="9"/>
      <c r="E1097" s="9"/>
      <c r="F1097" s="9"/>
      <c r="G1097" s="9"/>
      <c r="H1097" s="9"/>
      <c r="I1097" s="9"/>
      <c r="J1097" s="9"/>
      <c r="K1097" s="9"/>
      <c r="L1097" s="9"/>
      <c r="M1097" s="9"/>
      <c r="N1097" s="9"/>
      <c r="O1097" s="212"/>
      <c r="P1097" s="9"/>
      <c r="Q1097" s="9"/>
      <c r="R1097" s="9"/>
      <c r="S1097" s="9"/>
      <c r="T1097" s="9"/>
      <c r="U1097" s="9"/>
      <c r="V1097" s="9"/>
      <c r="W1097" s="9"/>
      <c r="X1097" s="9"/>
      <c r="Y1097" s="9"/>
      <c r="Z1097" s="9"/>
      <c r="AA1097" s="212"/>
      <c r="AB1097" s="9"/>
      <c r="AC1097" s="9"/>
      <c r="AD1097" s="9"/>
      <c r="AE1097" s="9"/>
      <c r="AF1097" s="9"/>
      <c r="AG1097" s="9"/>
      <c r="AH1097" s="9"/>
      <c r="AI1097" s="9"/>
      <c r="AJ1097" s="9"/>
      <c r="AK1097" s="9"/>
      <c r="AL1097" s="9"/>
      <c r="AM1097" s="9"/>
      <c r="AN1097" s="9"/>
      <c r="AO1097" s="9"/>
      <c r="AP1097" s="9"/>
      <c r="AQ1097" s="9"/>
      <c r="AR1097" s="9"/>
      <c r="AS1097" s="9"/>
      <c r="AT1097" s="9"/>
      <c r="AU1097" s="9"/>
      <c r="AV1097" s="9"/>
      <c r="AW1097" s="9"/>
      <c r="AX1097" s="9"/>
    </row>
    <row r="1098" spans="1:50" ht="15.75" customHeight="1" x14ac:dyDescent="0.2">
      <c r="A1098" s="9"/>
      <c r="B1098" s="9"/>
      <c r="C1098" s="9"/>
      <c r="D1098" s="9"/>
      <c r="E1098" s="9"/>
      <c r="F1098" s="9"/>
      <c r="G1098" s="9"/>
      <c r="H1098" s="9"/>
      <c r="I1098" s="9"/>
      <c r="J1098" s="9"/>
      <c r="K1098" s="9"/>
      <c r="L1098" s="9"/>
      <c r="M1098" s="9"/>
      <c r="N1098" s="9"/>
      <c r="O1098" s="212"/>
      <c r="P1098" s="9"/>
      <c r="Q1098" s="9"/>
      <c r="R1098" s="9"/>
      <c r="S1098" s="9"/>
      <c r="T1098" s="9"/>
      <c r="U1098" s="9"/>
      <c r="V1098" s="9"/>
      <c r="W1098" s="9"/>
      <c r="X1098" s="9"/>
      <c r="Y1098" s="9"/>
      <c r="Z1098" s="9"/>
      <c r="AA1098" s="212"/>
      <c r="AB1098" s="9"/>
      <c r="AC1098" s="9"/>
      <c r="AD1098" s="9"/>
      <c r="AE1098" s="9"/>
      <c r="AF1098" s="9"/>
      <c r="AG1098" s="9"/>
      <c r="AH1098" s="9"/>
      <c r="AI1098" s="9"/>
      <c r="AJ1098" s="9"/>
      <c r="AK1098" s="9"/>
      <c r="AL1098" s="9"/>
      <c r="AM1098" s="9"/>
      <c r="AN1098" s="9"/>
      <c r="AO1098" s="9"/>
      <c r="AP1098" s="9"/>
      <c r="AQ1098" s="9"/>
      <c r="AR1098" s="9"/>
      <c r="AS1098" s="9"/>
      <c r="AT1098" s="9"/>
      <c r="AU1098" s="9"/>
      <c r="AV1098" s="9"/>
      <c r="AW1098" s="9"/>
      <c r="AX1098" s="9"/>
    </row>
    <row r="1099" spans="1:50" ht="15.75" customHeight="1" x14ac:dyDescent="0.2">
      <c r="A1099" s="9"/>
      <c r="B1099" s="9"/>
      <c r="C1099" s="9"/>
      <c r="D1099" s="9"/>
      <c r="E1099" s="9"/>
      <c r="F1099" s="9"/>
      <c r="G1099" s="9"/>
      <c r="H1099" s="9"/>
      <c r="I1099" s="9"/>
      <c r="J1099" s="9"/>
      <c r="K1099" s="9"/>
      <c r="L1099" s="9"/>
      <c r="M1099" s="9"/>
      <c r="N1099" s="9"/>
      <c r="O1099" s="212"/>
      <c r="P1099" s="9"/>
      <c r="Q1099" s="9"/>
      <c r="R1099" s="9"/>
      <c r="S1099" s="9"/>
      <c r="T1099" s="9"/>
      <c r="U1099" s="9"/>
      <c r="V1099" s="9"/>
      <c r="W1099" s="9"/>
      <c r="X1099" s="9"/>
      <c r="Y1099" s="9"/>
      <c r="Z1099" s="9"/>
      <c r="AA1099" s="212"/>
      <c r="AB1099" s="9"/>
      <c r="AC1099" s="9"/>
      <c r="AD1099" s="9"/>
      <c r="AE1099" s="9"/>
      <c r="AF1099" s="9"/>
      <c r="AG1099" s="9"/>
      <c r="AH1099" s="9"/>
      <c r="AI1099" s="9"/>
      <c r="AJ1099" s="9"/>
      <c r="AK1099" s="9"/>
      <c r="AL1099" s="9"/>
      <c r="AM1099" s="9"/>
      <c r="AN1099" s="9"/>
      <c r="AO1099" s="9"/>
      <c r="AP1099" s="9"/>
      <c r="AQ1099" s="9"/>
      <c r="AR1099" s="9"/>
      <c r="AS1099" s="9"/>
      <c r="AT1099" s="9"/>
      <c r="AU1099" s="9"/>
      <c r="AV1099" s="9"/>
      <c r="AW1099" s="9"/>
      <c r="AX1099" s="9"/>
    </row>
    <row r="1100" spans="1:50" ht="15.75" customHeight="1" x14ac:dyDescent="0.2">
      <c r="A1100" s="9"/>
      <c r="B1100" s="9"/>
      <c r="C1100" s="9"/>
      <c r="D1100" s="9"/>
      <c r="E1100" s="9"/>
      <c r="F1100" s="9"/>
      <c r="G1100" s="9"/>
      <c r="H1100" s="9"/>
      <c r="I1100" s="9"/>
      <c r="J1100" s="9"/>
      <c r="K1100" s="9"/>
      <c r="L1100" s="9"/>
      <c r="M1100" s="9"/>
      <c r="N1100" s="9"/>
      <c r="O1100" s="212"/>
      <c r="P1100" s="9"/>
      <c r="Q1100" s="9"/>
      <c r="R1100" s="9"/>
      <c r="S1100" s="9"/>
      <c r="T1100" s="9"/>
      <c r="U1100" s="9"/>
      <c r="V1100" s="9"/>
      <c r="W1100" s="9"/>
      <c r="X1100" s="9"/>
      <c r="Y1100" s="9"/>
      <c r="Z1100" s="9"/>
      <c r="AA1100" s="212"/>
      <c r="AB1100" s="9"/>
      <c r="AC1100" s="9"/>
      <c r="AD1100" s="9"/>
      <c r="AE1100" s="9"/>
      <c r="AF1100" s="9"/>
      <c r="AG1100" s="9"/>
      <c r="AH1100" s="9"/>
      <c r="AI1100" s="9"/>
      <c r="AJ1100" s="9"/>
      <c r="AK1100" s="9"/>
      <c r="AL1100" s="9"/>
      <c r="AM1100" s="9"/>
      <c r="AN1100" s="9"/>
      <c r="AO1100" s="9"/>
      <c r="AP1100" s="9"/>
      <c r="AQ1100" s="9"/>
      <c r="AR1100" s="9"/>
      <c r="AS1100" s="9"/>
      <c r="AT1100" s="9"/>
      <c r="AU1100" s="9"/>
      <c r="AV1100" s="9"/>
      <c r="AW1100" s="9"/>
      <c r="AX1100" s="9"/>
    </row>
    <row r="1101" spans="1:50" ht="15.75" customHeight="1" x14ac:dyDescent="0.2">
      <c r="A1101" s="9"/>
      <c r="B1101" s="9"/>
      <c r="C1101" s="9"/>
      <c r="D1101" s="9"/>
      <c r="E1101" s="9"/>
      <c r="F1101" s="9"/>
      <c r="G1101" s="9"/>
      <c r="H1101" s="9"/>
      <c r="I1101" s="9"/>
      <c r="J1101" s="9"/>
      <c r="K1101" s="9"/>
      <c r="L1101" s="9"/>
      <c r="M1101" s="9"/>
      <c r="N1101" s="9"/>
      <c r="O1101" s="212"/>
      <c r="P1101" s="9"/>
      <c r="Q1101" s="9"/>
      <c r="R1101" s="9"/>
      <c r="S1101" s="9"/>
      <c r="T1101" s="9"/>
      <c r="U1101" s="9"/>
      <c r="V1101" s="9"/>
      <c r="W1101" s="9"/>
      <c r="X1101" s="9"/>
      <c r="Y1101" s="9"/>
      <c r="Z1101" s="9"/>
      <c r="AA1101" s="212"/>
      <c r="AB1101" s="9"/>
      <c r="AC1101" s="9"/>
      <c r="AD1101" s="9"/>
      <c r="AE1101" s="9"/>
      <c r="AF1101" s="9"/>
      <c r="AG1101" s="9"/>
      <c r="AH1101" s="9"/>
      <c r="AI1101" s="9"/>
      <c r="AJ1101" s="9"/>
      <c r="AK1101" s="9"/>
      <c r="AL1101" s="9"/>
      <c r="AM1101" s="9"/>
      <c r="AN1101" s="9"/>
      <c r="AO1101" s="9"/>
      <c r="AP1101" s="9"/>
      <c r="AQ1101" s="9"/>
      <c r="AR1101" s="9"/>
      <c r="AS1101" s="9"/>
      <c r="AT1101" s="9"/>
      <c r="AU1101" s="9"/>
      <c r="AV1101" s="9"/>
      <c r="AW1101" s="9"/>
      <c r="AX1101" s="9"/>
    </row>
    <row r="1102" spans="1:50" ht="15.75" customHeight="1" x14ac:dyDescent="0.2">
      <c r="A1102" s="9"/>
      <c r="B1102" s="9"/>
      <c r="C1102" s="9"/>
      <c r="D1102" s="9"/>
      <c r="E1102" s="9"/>
      <c r="F1102" s="9"/>
      <c r="G1102" s="9"/>
      <c r="H1102" s="9"/>
      <c r="I1102" s="9"/>
      <c r="J1102" s="9"/>
      <c r="K1102" s="9"/>
      <c r="L1102" s="9"/>
      <c r="M1102" s="9"/>
      <c r="N1102" s="9"/>
      <c r="O1102" s="212"/>
      <c r="P1102" s="9"/>
      <c r="Q1102" s="9"/>
      <c r="R1102" s="9"/>
      <c r="S1102" s="9"/>
      <c r="T1102" s="9"/>
      <c r="U1102" s="9"/>
      <c r="V1102" s="9"/>
      <c r="W1102" s="9"/>
      <c r="X1102" s="9"/>
      <c r="Y1102" s="9"/>
      <c r="Z1102" s="9"/>
      <c r="AA1102" s="212"/>
      <c r="AB1102" s="9"/>
      <c r="AC1102" s="9"/>
      <c r="AD1102" s="9"/>
      <c r="AE1102" s="9"/>
      <c r="AF1102" s="9"/>
      <c r="AG1102" s="9"/>
      <c r="AH1102" s="9"/>
      <c r="AI1102" s="9"/>
      <c r="AJ1102" s="9"/>
      <c r="AK1102" s="9"/>
      <c r="AL1102" s="9"/>
      <c r="AM1102" s="9"/>
      <c r="AN1102" s="9"/>
      <c r="AO1102" s="9"/>
      <c r="AP1102" s="9"/>
      <c r="AQ1102" s="9"/>
      <c r="AR1102" s="9"/>
      <c r="AS1102" s="9"/>
      <c r="AT1102" s="9"/>
      <c r="AU1102" s="9"/>
      <c r="AV1102" s="9"/>
      <c r="AW1102" s="9"/>
      <c r="AX1102" s="9"/>
    </row>
    <row r="1103" spans="1:50" ht="15.75" customHeight="1" x14ac:dyDescent="0.2">
      <c r="A1103" s="9"/>
      <c r="B1103" s="9"/>
      <c r="C1103" s="9"/>
      <c r="D1103" s="9"/>
      <c r="E1103" s="9"/>
      <c r="F1103" s="9"/>
      <c r="G1103" s="9"/>
      <c r="H1103" s="9"/>
      <c r="I1103" s="9"/>
      <c r="J1103" s="9"/>
      <c r="K1103" s="9"/>
      <c r="L1103" s="9"/>
      <c r="M1103" s="9"/>
      <c r="N1103" s="9"/>
      <c r="O1103" s="212"/>
      <c r="P1103" s="9"/>
      <c r="Q1103" s="9"/>
      <c r="R1103" s="9"/>
      <c r="S1103" s="9"/>
      <c r="T1103" s="9"/>
      <c r="U1103" s="9"/>
      <c r="V1103" s="9"/>
      <c r="W1103" s="9"/>
      <c r="X1103" s="9"/>
      <c r="Y1103" s="9"/>
      <c r="Z1103" s="9"/>
      <c r="AA1103" s="212"/>
      <c r="AB1103" s="9"/>
      <c r="AC1103" s="9"/>
      <c r="AD1103" s="9"/>
      <c r="AE1103" s="9"/>
      <c r="AF1103" s="9"/>
      <c r="AG1103" s="9"/>
      <c r="AH1103" s="9"/>
      <c r="AI1103" s="9"/>
      <c r="AJ1103" s="9"/>
      <c r="AK1103" s="9"/>
      <c r="AL1103" s="9"/>
      <c r="AM1103" s="9"/>
      <c r="AN1103" s="9"/>
      <c r="AO1103" s="9"/>
      <c r="AP1103" s="9"/>
      <c r="AQ1103" s="9"/>
      <c r="AR1103" s="9"/>
      <c r="AS1103" s="9"/>
      <c r="AT1103" s="9"/>
      <c r="AU1103" s="9"/>
      <c r="AV1103" s="9"/>
      <c r="AW1103" s="9"/>
      <c r="AX1103" s="9"/>
    </row>
    <row r="1104" spans="1:50" ht="15.75" customHeight="1" x14ac:dyDescent="0.2">
      <c r="A1104" s="9"/>
      <c r="B1104" s="9"/>
      <c r="C1104" s="9"/>
      <c r="D1104" s="9"/>
      <c r="E1104" s="9"/>
      <c r="F1104" s="9"/>
      <c r="G1104" s="9"/>
      <c r="H1104" s="9"/>
      <c r="I1104" s="9"/>
      <c r="J1104" s="9"/>
      <c r="K1104" s="9"/>
      <c r="L1104" s="9"/>
      <c r="M1104" s="9"/>
      <c r="N1104" s="9"/>
      <c r="O1104" s="212"/>
      <c r="P1104" s="9"/>
      <c r="Q1104" s="9"/>
      <c r="R1104" s="9"/>
      <c r="S1104" s="9"/>
      <c r="T1104" s="9"/>
      <c r="U1104" s="9"/>
      <c r="V1104" s="9"/>
      <c r="W1104" s="9"/>
      <c r="X1104" s="9"/>
      <c r="Y1104" s="9"/>
      <c r="Z1104" s="9"/>
      <c r="AA1104" s="212"/>
      <c r="AB1104" s="9"/>
      <c r="AC1104" s="9"/>
      <c r="AD1104" s="9"/>
      <c r="AE1104" s="9"/>
      <c r="AF1104" s="9"/>
      <c r="AG1104" s="9"/>
      <c r="AH1104" s="9"/>
      <c r="AI1104" s="9"/>
      <c r="AJ1104" s="9"/>
      <c r="AK1104" s="9"/>
      <c r="AL1104" s="9"/>
      <c r="AM1104" s="9"/>
      <c r="AN1104" s="9"/>
      <c r="AO1104" s="9"/>
      <c r="AP1104" s="9"/>
      <c r="AQ1104" s="9"/>
      <c r="AR1104" s="9"/>
      <c r="AS1104" s="9"/>
      <c r="AT1104" s="9"/>
      <c r="AU1104" s="9"/>
      <c r="AV1104" s="9"/>
      <c r="AW1104" s="9"/>
      <c r="AX1104" s="9"/>
    </row>
    <row r="1105" spans="1:50" ht="15.75" customHeight="1" x14ac:dyDescent="0.2">
      <c r="A1105" s="9"/>
      <c r="B1105" s="9"/>
      <c r="C1105" s="9"/>
      <c r="D1105" s="9"/>
      <c r="E1105" s="9"/>
      <c r="F1105" s="9"/>
      <c r="G1105" s="9"/>
      <c r="H1105" s="9"/>
      <c r="I1105" s="9"/>
      <c r="J1105" s="9"/>
      <c r="K1105" s="9"/>
      <c r="L1105" s="9"/>
      <c r="M1105" s="9"/>
      <c r="N1105" s="9"/>
      <c r="O1105" s="212"/>
      <c r="P1105" s="9"/>
      <c r="Q1105" s="9"/>
      <c r="R1105" s="9"/>
      <c r="S1105" s="9"/>
      <c r="T1105" s="9"/>
      <c r="U1105" s="9"/>
      <c r="V1105" s="9"/>
      <c r="W1105" s="9"/>
      <c r="X1105" s="9"/>
      <c r="Y1105" s="9"/>
      <c r="Z1105" s="9"/>
      <c r="AA1105" s="212"/>
      <c r="AB1105" s="9"/>
      <c r="AC1105" s="9"/>
      <c r="AD1105" s="9"/>
      <c r="AE1105" s="9"/>
      <c r="AF1105" s="9"/>
      <c r="AG1105" s="9"/>
      <c r="AH1105" s="9"/>
      <c r="AI1105" s="9"/>
      <c r="AJ1105" s="9"/>
      <c r="AK1105" s="9"/>
      <c r="AL1105" s="9"/>
      <c r="AM1105" s="9"/>
      <c r="AN1105" s="9"/>
      <c r="AO1105" s="9"/>
      <c r="AP1105" s="9"/>
      <c r="AQ1105" s="9"/>
      <c r="AR1105" s="9"/>
      <c r="AS1105" s="9"/>
      <c r="AT1105" s="9"/>
      <c r="AU1105" s="9"/>
      <c r="AV1105" s="9"/>
      <c r="AW1105" s="9"/>
      <c r="AX1105" s="9"/>
    </row>
    <row r="1106" spans="1:50" ht="15.75" customHeight="1" x14ac:dyDescent="0.2">
      <c r="A1106" s="9"/>
      <c r="B1106" s="9"/>
      <c r="C1106" s="9"/>
      <c r="D1106" s="9"/>
      <c r="E1106" s="9"/>
      <c r="F1106" s="9"/>
      <c r="G1106" s="9"/>
      <c r="H1106" s="9"/>
      <c r="I1106" s="9"/>
      <c r="J1106" s="9"/>
      <c r="K1106" s="9"/>
      <c r="L1106" s="9"/>
      <c r="M1106" s="9"/>
      <c r="N1106" s="9"/>
      <c r="O1106" s="212"/>
      <c r="P1106" s="9"/>
      <c r="Q1106" s="9"/>
      <c r="R1106" s="9"/>
      <c r="S1106" s="9"/>
      <c r="T1106" s="9"/>
      <c r="U1106" s="9"/>
      <c r="V1106" s="9"/>
      <c r="W1106" s="9"/>
      <c r="X1106" s="9"/>
      <c r="Y1106" s="9"/>
      <c r="Z1106" s="9"/>
      <c r="AA1106" s="212"/>
      <c r="AB1106" s="9"/>
      <c r="AC1106" s="9"/>
      <c r="AD1106" s="9"/>
      <c r="AE1106" s="9"/>
      <c r="AF1106" s="9"/>
      <c r="AG1106" s="9"/>
      <c r="AH1106" s="9"/>
      <c r="AI1106" s="9"/>
      <c r="AJ1106" s="9"/>
      <c r="AK1106" s="9"/>
      <c r="AL1106" s="9"/>
      <c r="AM1106" s="9"/>
      <c r="AN1106" s="9"/>
      <c r="AO1106" s="9"/>
      <c r="AP1106" s="9"/>
      <c r="AQ1106" s="9"/>
      <c r="AR1106" s="9"/>
      <c r="AS1106" s="9"/>
      <c r="AT1106" s="9"/>
      <c r="AU1106" s="9"/>
      <c r="AV1106" s="9"/>
      <c r="AW1106" s="9"/>
      <c r="AX1106" s="9"/>
    </row>
    <row r="1107" spans="1:50" ht="15.75" customHeight="1" x14ac:dyDescent="0.2">
      <c r="A1107" s="9"/>
      <c r="B1107" s="9"/>
      <c r="C1107" s="9"/>
      <c r="D1107" s="9"/>
      <c r="E1107" s="9"/>
      <c r="F1107" s="9"/>
      <c r="G1107" s="9"/>
      <c r="H1107" s="9"/>
      <c r="I1107" s="9"/>
      <c r="J1107" s="9"/>
      <c r="K1107" s="9"/>
      <c r="L1107" s="9"/>
      <c r="M1107" s="9"/>
      <c r="N1107" s="9"/>
      <c r="O1107" s="212"/>
      <c r="P1107" s="9"/>
      <c r="Q1107" s="9"/>
      <c r="R1107" s="9"/>
      <c r="S1107" s="9"/>
      <c r="T1107" s="9"/>
      <c r="U1107" s="9"/>
      <c r="V1107" s="9"/>
      <c r="W1107" s="9"/>
      <c r="X1107" s="9"/>
      <c r="Y1107" s="9"/>
      <c r="Z1107" s="9"/>
      <c r="AA1107" s="212"/>
      <c r="AB1107" s="9"/>
      <c r="AC1107" s="9"/>
      <c r="AD1107" s="9"/>
      <c r="AE1107" s="9"/>
      <c r="AF1107" s="9"/>
      <c r="AG1107" s="9"/>
      <c r="AH1107" s="9"/>
      <c r="AI1107" s="9"/>
      <c r="AJ1107" s="9"/>
      <c r="AK1107" s="9"/>
      <c r="AL1107" s="9"/>
      <c r="AM1107" s="9"/>
      <c r="AN1107" s="9"/>
      <c r="AO1107" s="9"/>
      <c r="AP1107" s="9"/>
      <c r="AQ1107" s="9"/>
      <c r="AR1107" s="9"/>
      <c r="AS1107" s="9"/>
      <c r="AT1107" s="9"/>
      <c r="AU1107" s="9"/>
      <c r="AV1107" s="9"/>
      <c r="AW1107" s="9"/>
      <c r="AX1107" s="9"/>
    </row>
    <row r="1108" spans="1:50" ht="15.75" customHeight="1" x14ac:dyDescent="0.2">
      <c r="A1108" s="9"/>
      <c r="B1108" s="9"/>
      <c r="C1108" s="9"/>
      <c r="D1108" s="9"/>
      <c r="E1108" s="9"/>
      <c r="F1108" s="9"/>
      <c r="G1108" s="9"/>
      <c r="H1108" s="9"/>
      <c r="I1108" s="9"/>
      <c r="J1108" s="9"/>
      <c r="K1108" s="9"/>
      <c r="L1108" s="9"/>
      <c r="M1108" s="9"/>
      <c r="N1108" s="9"/>
      <c r="O1108" s="212"/>
      <c r="P1108" s="9"/>
      <c r="Q1108" s="9"/>
      <c r="R1108" s="9"/>
      <c r="S1108" s="9"/>
      <c r="T1108" s="9"/>
      <c r="U1108" s="9"/>
      <c r="V1108" s="9"/>
      <c r="W1108" s="9"/>
      <c r="X1108" s="9"/>
      <c r="Y1108" s="9"/>
      <c r="Z1108" s="9"/>
      <c r="AA1108" s="212"/>
      <c r="AB1108" s="9"/>
      <c r="AC1108" s="9"/>
      <c r="AD1108" s="9"/>
      <c r="AE1108" s="9"/>
      <c r="AF1108" s="9"/>
      <c r="AG1108" s="9"/>
      <c r="AH1108" s="9"/>
      <c r="AI1108" s="9"/>
      <c r="AJ1108" s="9"/>
      <c r="AK1108" s="9"/>
      <c r="AL1108" s="9"/>
      <c r="AM1108" s="9"/>
      <c r="AN1108" s="9"/>
      <c r="AO1108" s="9"/>
      <c r="AP1108" s="9"/>
      <c r="AQ1108" s="9"/>
      <c r="AR1108" s="9"/>
      <c r="AS1108" s="9"/>
      <c r="AT1108" s="9"/>
      <c r="AU1108" s="9"/>
      <c r="AV1108" s="9"/>
      <c r="AW1108" s="9"/>
      <c r="AX1108" s="9"/>
    </row>
    <row r="1109" spans="1:50" ht="15.75" customHeight="1" x14ac:dyDescent="0.2">
      <c r="A1109" s="9"/>
      <c r="B1109" s="9"/>
      <c r="C1109" s="9"/>
      <c r="D1109" s="9"/>
      <c r="E1109" s="9"/>
      <c r="F1109" s="9"/>
      <c r="G1109" s="9"/>
      <c r="H1109" s="9"/>
      <c r="I1109" s="9"/>
      <c r="J1109" s="9"/>
      <c r="K1109" s="9"/>
      <c r="L1109" s="9"/>
      <c r="M1109" s="9"/>
      <c r="N1109" s="9"/>
      <c r="O1109" s="212"/>
      <c r="P1109" s="9"/>
      <c r="Q1109" s="9"/>
      <c r="R1109" s="9"/>
      <c r="S1109" s="9"/>
      <c r="T1109" s="9"/>
      <c r="U1109" s="9"/>
      <c r="V1109" s="9"/>
      <c r="W1109" s="9"/>
      <c r="X1109" s="9"/>
      <c r="Y1109" s="9"/>
      <c r="Z1109" s="9"/>
      <c r="AA1109" s="212"/>
      <c r="AB1109" s="9"/>
      <c r="AC1109" s="9"/>
      <c r="AD1109" s="9"/>
      <c r="AE1109" s="9"/>
      <c r="AF1109" s="9"/>
      <c r="AG1109" s="9"/>
      <c r="AH1109" s="9"/>
      <c r="AI1109" s="9"/>
      <c r="AJ1109" s="9"/>
      <c r="AK1109" s="9"/>
      <c r="AL1109" s="9"/>
      <c r="AM1109" s="9"/>
      <c r="AN1109" s="9"/>
      <c r="AO1109" s="9"/>
      <c r="AP1109" s="9"/>
      <c r="AQ1109" s="9"/>
      <c r="AR1109" s="9"/>
      <c r="AS1109" s="9"/>
      <c r="AT1109" s="9"/>
      <c r="AU1109" s="9"/>
      <c r="AV1109" s="9"/>
      <c r="AW1109" s="9"/>
      <c r="AX1109" s="9"/>
    </row>
    <row r="1110" spans="1:50" ht="15.75" customHeight="1" x14ac:dyDescent="0.2">
      <c r="A1110" s="9"/>
      <c r="B1110" s="9"/>
      <c r="C1110" s="9"/>
      <c r="D1110" s="9"/>
      <c r="E1110" s="9"/>
      <c r="F1110" s="9"/>
      <c r="G1110" s="9"/>
      <c r="H1110" s="9"/>
      <c r="I1110" s="9"/>
      <c r="J1110" s="9"/>
      <c r="K1110" s="9"/>
      <c r="L1110" s="9"/>
      <c r="M1110" s="9"/>
      <c r="N1110" s="9"/>
      <c r="O1110" s="212"/>
      <c r="P1110" s="9"/>
      <c r="Q1110" s="9"/>
      <c r="R1110" s="9"/>
      <c r="S1110" s="9"/>
      <c r="T1110" s="9"/>
      <c r="U1110" s="9"/>
      <c r="V1110" s="9"/>
      <c r="W1110" s="9"/>
      <c r="X1110" s="9"/>
      <c r="Y1110" s="9"/>
      <c r="Z1110" s="9"/>
      <c r="AA1110" s="212"/>
      <c r="AB1110" s="9"/>
      <c r="AC1110" s="9"/>
      <c r="AD1110" s="9"/>
      <c r="AE1110" s="9"/>
      <c r="AF1110" s="9"/>
      <c r="AG1110" s="9"/>
      <c r="AH1110" s="9"/>
      <c r="AI1110" s="9"/>
      <c r="AJ1110" s="9"/>
      <c r="AK1110" s="9"/>
      <c r="AL1110" s="9"/>
      <c r="AM1110" s="9"/>
      <c r="AN1110" s="9"/>
      <c r="AO1110" s="9"/>
      <c r="AP1110" s="9"/>
      <c r="AQ1110" s="9"/>
      <c r="AR1110" s="9"/>
      <c r="AS1110" s="9"/>
      <c r="AT1110" s="9"/>
      <c r="AU1110" s="9"/>
      <c r="AV1110" s="9"/>
      <c r="AW1110" s="9"/>
      <c r="AX1110" s="9"/>
    </row>
    <row r="1111" spans="1:50" ht="15.75" customHeight="1" x14ac:dyDescent="0.2">
      <c r="A1111" s="9"/>
      <c r="B1111" s="9"/>
      <c r="C1111" s="9"/>
      <c r="D1111" s="9"/>
      <c r="E1111" s="9"/>
      <c r="F1111" s="9"/>
      <c r="G1111" s="9"/>
      <c r="H1111" s="9"/>
      <c r="I1111" s="9"/>
      <c r="J1111" s="9"/>
      <c r="K1111" s="9"/>
      <c r="L1111" s="9"/>
      <c r="M1111" s="9"/>
      <c r="N1111" s="9"/>
      <c r="O1111" s="212"/>
      <c r="P1111" s="9"/>
      <c r="Q1111" s="9"/>
      <c r="R1111" s="9"/>
      <c r="S1111" s="9"/>
      <c r="T1111" s="9"/>
      <c r="U1111" s="9"/>
      <c r="V1111" s="9"/>
      <c r="W1111" s="9"/>
      <c r="X1111" s="9"/>
      <c r="Y1111" s="9"/>
      <c r="Z1111" s="9"/>
      <c r="AA1111" s="212"/>
      <c r="AB1111" s="9"/>
      <c r="AC1111" s="9"/>
      <c r="AD1111" s="9"/>
      <c r="AE1111" s="9"/>
      <c r="AF1111" s="9"/>
      <c r="AG1111" s="9"/>
      <c r="AH1111" s="9"/>
      <c r="AI1111" s="9"/>
      <c r="AJ1111" s="9"/>
      <c r="AK1111" s="9"/>
      <c r="AL1111" s="9"/>
      <c r="AM1111" s="9"/>
      <c r="AN1111" s="9"/>
      <c r="AO1111" s="9"/>
      <c r="AP1111" s="9"/>
      <c r="AQ1111" s="9"/>
      <c r="AR1111" s="9"/>
      <c r="AS1111" s="9"/>
      <c r="AT1111" s="9"/>
      <c r="AU1111" s="9"/>
      <c r="AV1111" s="9"/>
      <c r="AW1111" s="9"/>
      <c r="AX1111" s="9"/>
    </row>
    <row r="1112" spans="1:50" ht="15.75" customHeight="1" x14ac:dyDescent="0.2">
      <c r="A1112" s="9"/>
      <c r="B1112" s="9"/>
      <c r="C1112" s="9"/>
      <c r="D1112" s="9"/>
      <c r="E1112" s="9"/>
      <c r="F1112" s="9"/>
      <c r="G1112" s="9"/>
      <c r="H1112" s="9"/>
      <c r="I1112" s="9"/>
      <c r="J1112" s="9"/>
      <c r="K1112" s="9"/>
      <c r="L1112" s="9"/>
      <c r="M1112" s="9"/>
      <c r="N1112" s="9"/>
      <c r="O1112" s="212"/>
      <c r="P1112" s="9"/>
      <c r="Q1112" s="9"/>
      <c r="R1112" s="9"/>
      <c r="S1112" s="9"/>
      <c r="T1112" s="9"/>
      <c r="U1112" s="9"/>
      <c r="V1112" s="9"/>
      <c r="W1112" s="9"/>
      <c r="X1112" s="9"/>
      <c r="Y1112" s="9"/>
      <c r="Z1112" s="9"/>
      <c r="AA1112" s="212"/>
      <c r="AB1112" s="9"/>
      <c r="AC1112" s="9"/>
      <c r="AD1112" s="9"/>
      <c r="AE1112" s="9"/>
      <c r="AF1112" s="9"/>
      <c r="AG1112" s="9"/>
      <c r="AH1112" s="9"/>
      <c r="AI1112" s="9"/>
      <c r="AJ1112" s="9"/>
      <c r="AK1112" s="9"/>
      <c r="AL1112" s="9"/>
      <c r="AM1112" s="9"/>
      <c r="AN1112" s="9"/>
      <c r="AO1112" s="9"/>
      <c r="AP1112" s="9"/>
      <c r="AQ1112" s="9"/>
      <c r="AR1112" s="9"/>
      <c r="AS1112" s="9"/>
      <c r="AT1112" s="9"/>
      <c r="AU1112" s="9"/>
      <c r="AV1112" s="9"/>
      <c r="AW1112" s="9"/>
      <c r="AX1112" s="9"/>
    </row>
    <row r="1113" spans="1:50" ht="15.75" customHeight="1" x14ac:dyDescent="0.2">
      <c r="A1113" s="9"/>
      <c r="B1113" s="9"/>
      <c r="C1113" s="9"/>
      <c r="D1113" s="9"/>
      <c r="E1113" s="9"/>
      <c r="F1113" s="9"/>
      <c r="G1113" s="9"/>
      <c r="H1113" s="9"/>
      <c r="I1113" s="9"/>
      <c r="J1113" s="9"/>
      <c r="K1113" s="9"/>
      <c r="L1113" s="9"/>
      <c r="M1113" s="9"/>
      <c r="N1113" s="9"/>
      <c r="O1113" s="212"/>
      <c r="P1113" s="9"/>
      <c r="Q1113" s="9"/>
      <c r="R1113" s="9"/>
      <c r="S1113" s="9"/>
      <c r="T1113" s="9"/>
      <c r="U1113" s="9"/>
      <c r="V1113" s="9"/>
      <c r="W1113" s="9"/>
      <c r="X1113" s="9"/>
      <c r="Y1113" s="9"/>
      <c r="Z1113" s="9"/>
      <c r="AA1113" s="212"/>
      <c r="AB1113" s="9"/>
      <c r="AC1113" s="9"/>
      <c r="AD1113" s="9"/>
      <c r="AE1113" s="9"/>
      <c r="AF1113" s="9"/>
      <c r="AG1113" s="9"/>
      <c r="AH1113" s="9"/>
      <c r="AI1113" s="9"/>
      <c r="AJ1113" s="9"/>
      <c r="AK1113" s="9"/>
      <c r="AL1113" s="9"/>
      <c r="AM1113" s="9"/>
      <c r="AN1113" s="9"/>
      <c r="AO1113" s="9"/>
      <c r="AP1113" s="9"/>
      <c r="AQ1113" s="9"/>
      <c r="AR1113" s="9"/>
      <c r="AS1113" s="9"/>
      <c r="AT1113" s="9"/>
      <c r="AU1113" s="9"/>
      <c r="AV1113" s="9"/>
      <c r="AW1113" s="9"/>
      <c r="AX1113" s="9"/>
    </row>
    <row r="1114" spans="1:50" ht="15.75" customHeight="1" x14ac:dyDescent="0.2">
      <c r="A1114" s="9"/>
      <c r="B1114" s="9"/>
      <c r="C1114" s="9"/>
      <c r="D1114" s="9"/>
      <c r="E1114" s="9"/>
      <c r="F1114" s="9"/>
      <c r="G1114" s="9"/>
      <c r="H1114" s="9"/>
      <c r="I1114" s="9"/>
      <c r="J1114" s="9"/>
      <c r="K1114" s="9"/>
      <c r="L1114" s="9"/>
      <c r="M1114" s="9"/>
      <c r="N1114" s="9"/>
      <c r="O1114" s="212"/>
      <c r="P1114" s="9"/>
      <c r="Q1114" s="9"/>
      <c r="R1114" s="9"/>
      <c r="S1114" s="9"/>
      <c r="T1114" s="9"/>
      <c r="U1114" s="9"/>
      <c r="V1114" s="9"/>
      <c r="W1114" s="9"/>
      <c r="X1114" s="9"/>
      <c r="Y1114" s="9"/>
      <c r="Z1114" s="9"/>
      <c r="AA1114" s="212"/>
      <c r="AB1114" s="9"/>
      <c r="AC1114" s="9"/>
      <c r="AD1114" s="9"/>
      <c r="AE1114" s="9"/>
      <c r="AF1114" s="9"/>
      <c r="AG1114" s="9"/>
      <c r="AH1114" s="9"/>
      <c r="AI1114" s="9"/>
      <c r="AJ1114" s="9"/>
      <c r="AK1114" s="9"/>
      <c r="AL1114" s="9"/>
      <c r="AM1114" s="9"/>
      <c r="AN1114" s="9"/>
      <c r="AO1114" s="9"/>
      <c r="AP1114" s="9"/>
      <c r="AQ1114" s="9"/>
      <c r="AR1114" s="9"/>
      <c r="AS1114" s="9"/>
      <c r="AT1114" s="9"/>
      <c r="AU1114" s="9"/>
      <c r="AV1114" s="9"/>
      <c r="AW1114" s="9"/>
      <c r="AX1114" s="9"/>
    </row>
    <row r="1115" spans="1:50" ht="15.75" customHeight="1" x14ac:dyDescent="0.2">
      <c r="A1115" s="9"/>
      <c r="B1115" s="9"/>
      <c r="C1115" s="9"/>
      <c r="D1115" s="9"/>
      <c r="E1115" s="9"/>
      <c r="F1115" s="9"/>
      <c r="G1115" s="9"/>
      <c r="H1115" s="9"/>
      <c r="I1115" s="9"/>
      <c r="J1115" s="9"/>
      <c r="K1115" s="9"/>
      <c r="L1115" s="9"/>
      <c r="M1115" s="9"/>
      <c r="N1115" s="9"/>
      <c r="O1115" s="212"/>
      <c r="P1115" s="9"/>
      <c r="Q1115" s="9"/>
      <c r="R1115" s="9"/>
      <c r="S1115" s="9"/>
      <c r="T1115" s="9"/>
      <c r="U1115" s="9"/>
      <c r="V1115" s="9"/>
      <c r="W1115" s="9"/>
      <c r="X1115" s="9"/>
      <c r="Y1115" s="9"/>
      <c r="Z1115" s="9"/>
      <c r="AA1115" s="212"/>
      <c r="AB1115" s="9"/>
      <c r="AC1115" s="9"/>
      <c r="AD1115" s="9"/>
      <c r="AE1115" s="9"/>
      <c r="AF1115" s="9"/>
      <c r="AG1115" s="9"/>
      <c r="AH1115" s="9"/>
      <c r="AI1115" s="9"/>
      <c r="AJ1115" s="9"/>
      <c r="AK1115" s="9"/>
      <c r="AL1115" s="9"/>
      <c r="AM1115" s="9"/>
      <c r="AN1115" s="9"/>
      <c r="AO1115" s="9"/>
      <c r="AP1115" s="9"/>
      <c r="AQ1115" s="9"/>
      <c r="AR1115" s="9"/>
      <c r="AS1115" s="9"/>
      <c r="AT1115" s="9"/>
      <c r="AU1115" s="9"/>
      <c r="AV1115" s="9"/>
      <c r="AW1115" s="9"/>
      <c r="AX1115" s="9"/>
    </row>
    <row r="1116" spans="1:50" ht="15.75" customHeight="1" x14ac:dyDescent="0.2">
      <c r="A1116" s="9"/>
      <c r="B1116" s="9"/>
      <c r="C1116" s="9"/>
      <c r="D1116" s="9"/>
      <c r="E1116" s="9"/>
      <c r="F1116" s="9"/>
      <c r="G1116" s="9"/>
      <c r="H1116" s="9"/>
      <c r="I1116" s="9"/>
      <c r="J1116" s="9"/>
      <c r="K1116" s="9"/>
      <c r="L1116" s="9"/>
      <c r="M1116" s="9"/>
      <c r="N1116" s="9"/>
      <c r="O1116" s="212"/>
      <c r="P1116" s="9"/>
      <c r="Q1116" s="9"/>
      <c r="R1116" s="9"/>
      <c r="S1116" s="9"/>
      <c r="T1116" s="9"/>
      <c r="U1116" s="9"/>
      <c r="V1116" s="9"/>
      <c r="W1116" s="9"/>
      <c r="X1116" s="9"/>
      <c r="Y1116" s="9"/>
      <c r="Z1116" s="9"/>
      <c r="AA1116" s="212"/>
      <c r="AB1116" s="9"/>
      <c r="AC1116" s="9"/>
      <c r="AD1116" s="9"/>
      <c r="AE1116" s="9"/>
      <c r="AF1116" s="9"/>
      <c r="AG1116" s="9"/>
      <c r="AH1116" s="9"/>
      <c r="AI1116" s="9"/>
      <c r="AJ1116" s="9"/>
      <c r="AK1116" s="9"/>
      <c r="AL1116" s="9"/>
      <c r="AM1116" s="9"/>
      <c r="AN1116" s="9"/>
      <c r="AO1116" s="9"/>
      <c r="AP1116" s="9"/>
      <c r="AQ1116" s="9"/>
      <c r="AR1116" s="9"/>
      <c r="AS1116" s="9"/>
      <c r="AT1116" s="9"/>
      <c r="AU1116" s="9"/>
      <c r="AV1116" s="9"/>
      <c r="AW1116" s="9"/>
      <c r="AX1116" s="9"/>
    </row>
    <row r="1117" spans="1:50" ht="15.75" customHeight="1" x14ac:dyDescent="0.2">
      <c r="A1117" s="9"/>
      <c r="B1117" s="9"/>
      <c r="C1117" s="9"/>
      <c r="D1117" s="9"/>
      <c r="E1117" s="9"/>
      <c r="F1117" s="9"/>
      <c r="G1117" s="9"/>
      <c r="H1117" s="9"/>
      <c r="I1117" s="9"/>
      <c r="J1117" s="9"/>
      <c r="K1117" s="9"/>
      <c r="L1117" s="9"/>
      <c r="M1117" s="9"/>
      <c r="N1117" s="9"/>
      <c r="O1117" s="212"/>
      <c r="P1117" s="9"/>
      <c r="Q1117" s="9"/>
      <c r="R1117" s="9"/>
      <c r="S1117" s="9"/>
      <c r="T1117" s="9"/>
      <c r="U1117" s="9"/>
      <c r="V1117" s="9"/>
      <c r="W1117" s="9"/>
      <c r="X1117" s="9"/>
      <c r="Y1117" s="9"/>
      <c r="Z1117" s="9"/>
      <c r="AA1117" s="212"/>
      <c r="AB1117" s="9"/>
      <c r="AC1117" s="9"/>
      <c r="AD1117" s="9"/>
      <c r="AE1117" s="9"/>
      <c r="AF1117" s="9"/>
      <c r="AG1117" s="9"/>
      <c r="AH1117" s="9"/>
      <c r="AI1117" s="9"/>
      <c r="AJ1117" s="9"/>
      <c r="AK1117" s="9"/>
      <c r="AL1117" s="9"/>
      <c r="AM1117" s="9"/>
      <c r="AN1117" s="9"/>
      <c r="AO1117" s="9"/>
      <c r="AP1117" s="9"/>
      <c r="AQ1117" s="9"/>
      <c r="AR1117" s="9"/>
      <c r="AS1117" s="9"/>
      <c r="AT1117" s="9"/>
      <c r="AU1117" s="9"/>
      <c r="AV1117" s="9"/>
      <c r="AW1117" s="9"/>
      <c r="AX1117" s="9"/>
    </row>
    <row r="1118" spans="1:50" ht="15.75" customHeight="1" x14ac:dyDescent="0.2">
      <c r="A1118" s="9"/>
      <c r="B1118" s="9"/>
      <c r="C1118" s="9"/>
      <c r="D1118" s="9"/>
      <c r="E1118" s="9"/>
      <c r="F1118" s="9"/>
      <c r="G1118" s="9"/>
      <c r="H1118" s="9"/>
      <c r="I1118" s="9"/>
      <c r="J1118" s="9"/>
      <c r="K1118" s="9"/>
      <c r="L1118" s="9"/>
      <c r="M1118" s="9"/>
      <c r="N1118" s="9"/>
      <c r="O1118" s="212"/>
      <c r="P1118" s="9"/>
      <c r="Q1118" s="9"/>
      <c r="R1118" s="9"/>
      <c r="S1118" s="9"/>
      <c r="T1118" s="9"/>
      <c r="U1118" s="9"/>
      <c r="V1118" s="9"/>
      <c r="W1118" s="9"/>
      <c r="X1118" s="9"/>
      <c r="Y1118" s="9"/>
      <c r="Z1118" s="9"/>
      <c r="AA1118" s="212"/>
      <c r="AB1118" s="9"/>
      <c r="AC1118" s="9"/>
      <c r="AD1118" s="9"/>
      <c r="AE1118" s="9"/>
      <c r="AF1118" s="9"/>
      <c r="AG1118" s="9"/>
      <c r="AH1118" s="9"/>
      <c r="AI1118" s="9"/>
      <c r="AJ1118" s="9"/>
      <c r="AK1118" s="9"/>
      <c r="AL1118" s="9"/>
      <c r="AM1118" s="9"/>
      <c r="AN1118" s="9"/>
      <c r="AO1118" s="9"/>
      <c r="AP1118" s="9"/>
      <c r="AQ1118" s="9"/>
      <c r="AR1118" s="9"/>
      <c r="AS1118" s="9"/>
      <c r="AT1118" s="9"/>
      <c r="AU1118" s="9"/>
      <c r="AV1118" s="9"/>
      <c r="AW1118" s="9"/>
      <c r="AX1118" s="9"/>
    </row>
    <row r="1119" spans="1:50" ht="15.75" customHeight="1" x14ac:dyDescent="0.2">
      <c r="A1119" s="9"/>
      <c r="B1119" s="9"/>
      <c r="C1119" s="9"/>
      <c r="D1119" s="9"/>
      <c r="E1119" s="9"/>
      <c r="F1119" s="9"/>
      <c r="G1119" s="9"/>
      <c r="H1119" s="9"/>
      <c r="I1119" s="9"/>
      <c r="J1119" s="9"/>
      <c r="K1119" s="9"/>
      <c r="L1119" s="9"/>
      <c r="M1119" s="9"/>
      <c r="N1119" s="9"/>
      <c r="O1119" s="212"/>
      <c r="P1119" s="9"/>
      <c r="Q1119" s="9"/>
      <c r="R1119" s="9"/>
      <c r="S1119" s="9"/>
      <c r="T1119" s="9"/>
      <c r="U1119" s="9"/>
      <c r="V1119" s="9"/>
      <c r="W1119" s="9"/>
      <c r="X1119" s="9"/>
      <c r="Y1119" s="9"/>
      <c r="Z1119" s="9"/>
      <c r="AA1119" s="212"/>
      <c r="AB1119" s="9"/>
      <c r="AC1119" s="9"/>
      <c r="AD1119" s="9"/>
      <c r="AE1119" s="9"/>
      <c r="AF1119" s="9"/>
      <c r="AG1119" s="9"/>
      <c r="AH1119" s="9"/>
      <c r="AI1119" s="9"/>
      <c r="AJ1119" s="9"/>
      <c r="AK1119" s="9"/>
      <c r="AL1119" s="9"/>
      <c r="AM1119" s="9"/>
      <c r="AN1119" s="9"/>
      <c r="AO1119" s="9"/>
      <c r="AP1119" s="9"/>
      <c r="AQ1119" s="9"/>
      <c r="AR1119" s="9"/>
      <c r="AS1119" s="9"/>
      <c r="AT1119" s="9"/>
      <c r="AU1119" s="9"/>
      <c r="AV1119" s="9"/>
      <c r="AW1119" s="9"/>
      <c r="AX1119" s="9"/>
    </row>
    <row r="1120" spans="1:50" ht="15.75" customHeight="1" x14ac:dyDescent="0.2">
      <c r="A1120" s="9"/>
      <c r="B1120" s="9"/>
      <c r="C1120" s="9"/>
      <c r="D1120" s="9"/>
      <c r="E1120" s="9"/>
      <c r="F1120" s="9"/>
      <c r="G1120" s="9"/>
      <c r="H1120" s="9"/>
      <c r="I1120" s="9"/>
      <c r="J1120" s="9"/>
      <c r="K1120" s="9"/>
      <c r="L1120" s="9"/>
      <c r="M1120" s="9"/>
      <c r="N1120" s="9"/>
      <c r="O1120" s="212"/>
      <c r="P1120" s="9"/>
      <c r="Q1120" s="9"/>
      <c r="R1120" s="9"/>
      <c r="S1120" s="9"/>
      <c r="T1120" s="9"/>
      <c r="U1120" s="9"/>
      <c r="V1120" s="9"/>
      <c r="W1120" s="9"/>
      <c r="X1120" s="9"/>
      <c r="Y1120" s="9"/>
      <c r="Z1120" s="9"/>
      <c r="AA1120" s="212"/>
      <c r="AB1120" s="9"/>
      <c r="AC1120" s="9"/>
      <c r="AD1120" s="9"/>
      <c r="AE1120" s="9"/>
      <c r="AF1120" s="9"/>
      <c r="AG1120" s="9"/>
      <c r="AH1120" s="9"/>
      <c r="AI1120" s="9"/>
      <c r="AJ1120" s="9"/>
      <c r="AK1120" s="9"/>
      <c r="AL1120" s="9"/>
      <c r="AM1120" s="9"/>
      <c r="AN1120" s="9"/>
      <c r="AO1120" s="9"/>
      <c r="AP1120" s="9"/>
      <c r="AQ1120" s="9"/>
      <c r="AR1120" s="9"/>
      <c r="AS1120" s="9"/>
      <c r="AT1120" s="9"/>
      <c r="AU1120" s="9"/>
      <c r="AV1120" s="9"/>
      <c r="AW1120" s="9"/>
      <c r="AX1120" s="9"/>
    </row>
    <row r="1121" spans="1:50" ht="15.75" customHeight="1" x14ac:dyDescent="0.2">
      <c r="A1121" s="9"/>
      <c r="B1121" s="9"/>
      <c r="C1121" s="9"/>
      <c r="D1121" s="9"/>
      <c r="E1121" s="9"/>
      <c r="F1121" s="9"/>
      <c r="G1121" s="9"/>
      <c r="H1121" s="9"/>
      <c r="I1121" s="9"/>
      <c r="J1121" s="9"/>
      <c r="K1121" s="9"/>
      <c r="L1121" s="9"/>
      <c r="M1121" s="9"/>
      <c r="N1121" s="9"/>
      <c r="O1121" s="212"/>
      <c r="P1121" s="9"/>
      <c r="Q1121" s="9"/>
      <c r="R1121" s="9"/>
      <c r="S1121" s="9"/>
      <c r="T1121" s="9"/>
      <c r="U1121" s="9"/>
      <c r="V1121" s="9"/>
      <c r="W1121" s="9"/>
      <c r="X1121" s="9"/>
      <c r="Y1121" s="9"/>
      <c r="Z1121" s="9"/>
      <c r="AA1121" s="212"/>
      <c r="AB1121" s="9"/>
      <c r="AC1121" s="9"/>
      <c r="AD1121" s="9"/>
      <c r="AE1121" s="9"/>
      <c r="AF1121" s="9"/>
      <c r="AG1121" s="9"/>
      <c r="AH1121" s="9"/>
      <c r="AI1121" s="9"/>
      <c r="AJ1121" s="9"/>
      <c r="AK1121" s="9"/>
      <c r="AL1121" s="9"/>
      <c r="AM1121" s="9"/>
      <c r="AN1121" s="9"/>
      <c r="AO1121" s="9"/>
      <c r="AP1121" s="9"/>
      <c r="AQ1121" s="9"/>
      <c r="AR1121" s="9"/>
      <c r="AS1121" s="9"/>
      <c r="AT1121" s="9"/>
      <c r="AU1121" s="9"/>
      <c r="AV1121" s="9"/>
      <c r="AW1121" s="9"/>
      <c r="AX1121" s="9"/>
    </row>
    <row r="1122" spans="1:50" ht="15.75" customHeight="1" x14ac:dyDescent="0.2">
      <c r="A1122" s="9"/>
      <c r="B1122" s="9"/>
      <c r="C1122" s="9"/>
      <c r="D1122" s="9"/>
      <c r="E1122" s="9"/>
      <c r="F1122" s="9"/>
      <c r="G1122" s="9"/>
      <c r="H1122" s="9"/>
      <c r="I1122" s="9"/>
      <c r="J1122" s="9"/>
      <c r="K1122" s="9"/>
      <c r="L1122" s="9"/>
      <c r="M1122" s="9"/>
      <c r="N1122" s="9"/>
      <c r="O1122" s="212"/>
      <c r="P1122" s="9"/>
      <c r="Q1122" s="9"/>
      <c r="R1122" s="9"/>
      <c r="S1122" s="9"/>
      <c r="T1122" s="9"/>
      <c r="U1122" s="9"/>
      <c r="V1122" s="9"/>
      <c r="W1122" s="9"/>
      <c r="X1122" s="9"/>
      <c r="Y1122" s="9"/>
      <c r="Z1122" s="9"/>
      <c r="AA1122" s="212"/>
      <c r="AB1122" s="9"/>
      <c r="AC1122" s="9"/>
      <c r="AD1122" s="9"/>
      <c r="AE1122" s="9"/>
      <c r="AF1122" s="9"/>
      <c r="AG1122" s="9"/>
      <c r="AH1122" s="9"/>
      <c r="AI1122" s="9"/>
      <c r="AJ1122" s="9"/>
      <c r="AK1122" s="9"/>
      <c r="AL1122" s="9"/>
      <c r="AM1122" s="9"/>
      <c r="AN1122" s="9"/>
      <c r="AO1122" s="9"/>
      <c r="AP1122" s="9"/>
      <c r="AQ1122" s="9"/>
      <c r="AR1122" s="9"/>
      <c r="AS1122" s="9"/>
      <c r="AT1122" s="9"/>
      <c r="AU1122" s="9"/>
      <c r="AV1122" s="9"/>
      <c r="AW1122" s="9"/>
      <c r="AX1122" s="9"/>
    </row>
    <row r="1123" spans="1:50" ht="15.75" customHeight="1" x14ac:dyDescent="0.2">
      <c r="A1123" s="9"/>
      <c r="B1123" s="9"/>
      <c r="C1123" s="9"/>
      <c r="D1123" s="9"/>
      <c r="E1123" s="9"/>
      <c r="F1123" s="9"/>
      <c r="G1123" s="9"/>
      <c r="H1123" s="9"/>
      <c r="I1123" s="9"/>
      <c r="J1123" s="9"/>
      <c r="K1123" s="9"/>
      <c r="L1123" s="9"/>
      <c r="M1123" s="9"/>
      <c r="N1123" s="9"/>
      <c r="O1123" s="212"/>
      <c r="P1123" s="9"/>
      <c r="Q1123" s="9"/>
      <c r="R1123" s="9"/>
      <c r="S1123" s="9"/>
      <c r="T1123" s="9"/>
      <c r="U1123" s="9"/>
      <c r="V1123" s="9"/>
      <c r="W1123" s="9"/>
      <c r="X1123" s="9"/>
      <c r="Y1123" s="9"/>
      <c r="Z1123" s="9"/>
      <c r="AA1123" s="212"/>
      <c r="AB1123" s="9"/>
      <c r="AC1123" s="9"/>
      <c r="AD1123" s="9"/>
      <c r="AE1123" s="9"/>
      <c r="AF1123" s="9"/>
      <c r="AG1123" s="9"/>
      <c r="AH1123" s="9"/>
      <c r="AI1123" s="9"/>
      <c r="AJ1123" s="9"/>
      <c r="AK1123" s="9"/>
      <c r="AL1123" s="9"/>
      <c r="AM1123" s="9"/>
      <c r="AN1123" s="9"/>
      <c r="AO1123" s="9"/>
      <c r="AP1123" s="9"/>
      <c r="AQ1123" s="9"/>
      <c r="AR1123" s="9"/>
      <c r="AS1123" s="9"/>
      <c r="AT1123" s="9"/>
      <c r="AU1123" s="9"/>
      <c r="AV1123" s="9"/>
      <c r="AW1123" s="9"/>
      <c r="AX1123" s="9"/>
    </row>
    <row r="1124" spans="1:50" ht="15.75" customHeight="1" x14ac:dyDescent="0.2">
      <c r="A1124" s="9"/>
      <c r="B1124" s="9"/>
      <c r="C1124" s="9"/>
      <c r="D1124" s="9"/>
      <c r="E1124" s="9"/>
      <c r="F1124" s="9"/>
      <c r="G1124" s="9"/>
      <c r="H1124" s="9"/>
      <c r="I1124" s="9"/>
      <c r="J1124" s="9"/>
      <c r="K1124" s="9"/>
      <c r="L1124" s="9"/>
      <c r="M1124" s="9"/>
      <c r="N1124" s="9"/>
      <c r="O1124" s="212"/>
      <c r="P1124" s="9"/>
      <c r="Q1124" s="9"/>
      <c r="R1124" s="9"/>
      <c r="S1124" s="9"/>
      <c r="T1124" s="9"/>
      <c r="U1124" s="9"/>
      <c r="V1124" s="9"/>
      <c r="W1124" s="9"/>
      <c r="X1124" s="9"/>
      <c r="Y1124" s="9"/>
      <c r="Z1124" s="9"/>
      <c r="AA1124" s="212"/>
      <c r="AB1124" s="9"/>
      <c r="AC1124" s="9"/>
      <c r="AD1124" s="9"/>
      <c r="AE1124" s="9"/>
      <c r="AF1124" s="9"/>
      <c r="AG1124" s="9"/>
      <c r="AH1124" s="9"/>
      <c r="AI1124" s="9"/>
      <c r="AJ1124" s="9"/>
      <c r="AK1124" s="9"/>
      <c r="AL1124" s="9"/>
      <c r="AM1124" s="9"/>
      <c r="AN1124" s="9"/>
      <c r="AO1124" s="9"/>
      <c r="AP1124" s="9"/>
      <c r="AQ1124" s="9"/>
      <c r="AR1124" s="9"/>
      <c r="AS1124" s="9"/>
      <c r="AT1124" s="9"/>
      <c r="AU1124" s="9"/>
      <c r="AV1124" s="9"/>
      <c r="AW1124" s="9"/>
      <c r="AX1124" s="9"/>
    </row>
    <row r="1125" spans="1:50" ht="15.75" customHeight="1" x14ac:dyDescent="0.2">
      <c r="A1125" s="9"/>
      <c r="B1125" s="9"/>
      <c r="C1125" s="9"/>
      <c r="D1125" s="9"/>
      <c r="E1125" s="9"/>
      <c r="F1125" s="9"/>
      <c r="G1125" s="9"/>
      <c r="H1125" s="9"/>
      <c r="I1125" s="9"/>
      <c r="J1125" s="9"/>
      <c r="K1125" s="9"/>
      <c r="L1125" s="9"/>
      <c r="M1125" s="9"/>
      <c r="N1125" s="9"/>
      <c r="O1125" s="212"/>
      <c r="P1125" s="9"/>
      <c r="Q1125" s="9"/>
      <c r="R1125" s="9"/>
      <c r="S1125" s="9"/>
      <c r="T1125" s="9"/>
      <c r="U1125" s="9"/>
      <c r="V1125" s="9"/>
      <c r="W1125" s="9"/>
      <c r="X1125" s="9"/>
      <c r="Y1125" s="9"/>
      <c r="Z1125" s="9"/>
      <c r="AA1125" s="212"/>
      <c r="AB1125" s="9"/>
      <c r="AC1125" s="9"/>
      <c r="AD1125" s="9"/>
      <c r="AE1125" s="9"/>
      <c r="AF1125" s="9"/>
      <c r="AG1125" s="9"/>
      <c r="AH1125" s="9"/>
      <c r="AI1125" s="9"/>
      <c r="AJ1125" s="9"/>
      <c r="AK1125" s="9"/>
      <c r="AL1125" s="9"/>
      <c r="AM1125" s="9"/>
      <c r="AN1125" s="9"/>
      <c r="AO1125" s="9"/>
      <c r="AP1125" s="9"/>
      <c r="AQ1125" s="9"/>
      <c r="AR1125" s="9"/>
      <c r="AS1125" s="9"/>
      <c r="AT1125" s="9"/>
      <c r="AU1125" s="9"/>
      <c r="AV1125" s="9"/>
      <c r="AW1125" s="9"/>
      <c r="AX1125" s="9"/>
    </row>
    <row r="1126" spans="1:50" ht="15.75" customHeight="1" x14ac:dyDescent="0.2">
      <c r="A1126" s="9"/>
      <c r="B1126" s="9"/>
      <c r="C1126" s="9"/>
      <c r="D1126" s="9"/>
      <c r="E1126" s="9"/>
      <c r="F1126" s="9"/>
      <c r="G1126" s="9"/>
      <c r="H1126" s="9"/>
      <c r="I1126" s="9"/>
      <c r="J1126" s="9"/>
      <c r="K1126" s="9"/>
      <c r="L1126" s="9"/>
      <c r="M1126" s="9"/>
      <c r="N1126" s="9"/>
      <c r="O1126" s="212"/>
      <c r="P1126" s="9"/>
      <c r="Q1126" s="9"/>
      <c r="R1126" s="9"/>
      <c r="S1126" s="9"/>
      <c r="T1126" s="9"/>
      <c r="U1126" s="9"/>
      <c r="V1126" s="9"/>
      <c r="W1126" s="9"/>
      <c r="X1126" s="9"/>
      <c r="Y1126" s="9"/>
      <c r="Z1126" s="9"/>
      <c r="AA1126" s="212"/>
      <c r="AB1126" s="9"/>
      <c r="AC1126" s="9"/>
      <c r="AD1126" s="9"/>
      <c r="AE1126" s="9"/>
      <c r="AF1126" s="9"/>
      <c r="AG1126" s="9"/>
      <c r="AH1126" s="9"/>
      <c r="AI1126" s="9"/>
      <c r="AJ1126" s="9"/>
      <c r="AK1126" s="9"/>
      <c r="AL1126" s="9"/>
      <c r="AM1126" s="9"/>
      <c r="AN1126" s="9"/>
      <c r="AO1126" s="9"/>
      <c r="AP1126" s="9"/>
      <c r="AQ1126" s="9"/>
      <c r="AR1126" s="9"/>
      <c r="AS1126" s="9"/>
      <c r="AT1126" s="9"/>
      <c r="AU1126" s="9"/>
      <c r="AV1126" s="9"/>
      <c r="AW1126" s="9"/>
      <c r="AX1126" s="9"/>
    </row>
    <row r="1127" spans="1:50" ht="15.75" customHeight="1" x14ac:dyDescent="0.2">
      <c r="A1127" s="9"/>
      <c r="B1127" s="9"/>
      <c r="C1127" s="9"/>
      <c r="D1127" s="9"/>
      <c r="E1127" s="9"/>
      <c r="F1127" s="9"/>
      <c r="G1127" s="9"/>
      <c r="H1127" s="9"/>
      <c r="I1127" s="9"/>
      <c r="J1127" s="9"/>
      <c r="K1127" s="9"/>
      <c r="L1127" s="9"/>
      <c r="M1127" s="9"/>
      <c r="N1127" s="9"/>
      <c r="O1127" s="212"/>
      <c r="P1127" s="9"/>
      <c r="Q1127" s="9"/>
      <c r="R1127" s="9"/>
      <c r="S1127" s="9"/>
      <c r="T1127" s="9"/>
      <c r="U1127" s="9"/>
      <c r="V1127" s="9"/>
      <c r="W1127" s="9"/>
      <c r="X1127" s="9"/>
      <c r="Y1127" s="9"/>
      <c r="Z1127" s="9"/>
      <c r="AA1127" s="212"/>
      <c r="AB1127" s="9"/>
      <c r="AC1127" s="9"/>
      <c r="AD1127" s="9"/>
      <c r="AE1127" s="9"/>
      <c r="AF1127" s="9"/>
      <c r="AG1127" s="9"/>
      <c r="AH1127" s="9"/>
      <c r="AI1127" s="9"/>
      <c r="AJ1127" s="9"/>
      <c r="AK1127" s="9"/>
      <c r="AL1127" s="9"/>
      <c r="AM1127" s="9"/>
      <c r="AN1127" s="9"/>
      <c r="AO1127" s="9"/>
      <c r="AP1127" s="9"/>
      <c r="AQ1127" s="9"/>
      <c r="AR1127" s="9"/>
      <c r="AS1127" s="9"/>
      <c r="AT1127" s="9"/>
      <c r="AU1127" s="9"/>
      <c r="AV1127" s="9"/>
      <c r="AW1127" s="9"/>
      <c r="AX1127" s="9"/>
    </row>
    <row r="1128" spans="1:50" ht="15.75" customHeight="1" x14ac:dyDescent="0.2">
      <c r="A1128" s="9"/>
      <c r="B1128" s="9"/>
      <c r="C1128" s="9"/>
      <c r="D1128" s="9"/>
      <c r="E1128" s="9"/>
      <c r="F1128" s="9"/>
      <c r="G1128" s="9"/>
      <c r="H1128" s="9"/>
      <c r="I1128" s="9"/>
      <c r="J1128" s="9"/>
      <c r="K1128" s="9"/>
      <c r="L1128" s="9"/>
      <c r="M1128" s="9"/>
      <c r="N1128" s="9"/>
      <c r="O1128" s="212"/>
      <c r="P1128" s="9"/>
      <c r="Q1128" s="9"/>
      <c r="R1128" s="9"/>
      <c r="S1128" s="9"/>
      <c r="T1128" s="9"/>
      <c r="U1128" s="9"/>
      <c r="V1128" s="9"/>
      <c r="W1128" s="9"/>
      <c r="X1128" s="9"/>
      <c r="Y1128" s="9"/>
      <c r="Z1128" s="9"/>
      <c r="AA1128" s="212"/>
      <c r="AB1128" s="9"/>
      <c r="AC1128" s="9"/>
      <c r="AD1128" s="9"/>
      <c r="AE1128" s="9"/>
      <c r="AF1128" s="9"/>
      <c r="AG1128" s="9"/>
      <c r="AH1128" s="9"/>
      <c r="AI1128" s="9"/>
      <c r="AJ1128" s="9"/>
      <c r="AK1128" s="9"/>
      <c r="AL1128" s="9"/>
      <c r="AM1128" s="9"/>
      <c r="AN1128" s="9"/>
      <c r="AO1128" s="9"/>
      <c r="AP1128" s="9"/>
      <c r="AQ1128" s="9"/>
      <c r="AR1128" s="9"/>
      <c r="AS1128" s="9"/>
      <c r="AT1128" s="9"/>
      <c r="AU1128" s="9"/>
      <c r="AV1128" s="9"/>
      <c r="AW1128" s="9"/>
      <c r="AX1128" s="9"/>
    </row>
    <row r="1129" spans="1:50" ht="15.75" customHeight="1" x14ac:dyDescent="0.2">
      <c r="A1129" s="9"/>
      <c r="B1129" s="9"/>
      <c r="C1129" s="9"/>
      <c r="D1129" s="9"/>
      <c r="E1129" s="9"/>
      <c r="F1129" s="9"/>
      <c r="G1129" s="9"/>
      <c r="H1129" s="9"/>
      <c r="I1129" s="9"/>
      <c r="J1129" s="9"/>
      <c r="K1129" s="9"/>
      <c r="L1129" s="9"/>
      <c r="M1129" s="9"/>
      <c r="N1129" s="9"/>
      <c r="O1129" s="212"/>
      <c r="P1129" s="9"/>
      <c r="Q1129" s="9"/>
      <c r="R1129" s="9"/>
      <c r="S1129" s="9"/>
      <c r="T1129" s="9"/>
      <c r="U1129" s="9"/>
      <c r="V1129" s="9"/>
      <c r="W1129" s="9"/>
      <c r="X1129" s="9"/>
      <c r="Y1129" s="9"/>
      <c r="Z1129" s="9"/>
      <c r="AA1129" s="212"/>
      <c r="AB1129" s="9"/>
      <c r="AC1129" s="9"/>
      <c r="AD1129" s="9"/>
      <c r="AE1129" s="9"/>
      <c r="AF1129" s="9"/>
      <c r="AG1129" s="9"/>
      <c r="AH1129" s="9"/>
      <c r="AI1129" s="9"/>
      <c r="AJ1129" s="9"/>
      <c r="AK1129" s="9"/>
      <c r="AL1129" s="9"/>
      <c r="AM1129" s="9"/>
      <c r="AN1129" s="9"/>
      <c r="AO1129" s="9"/>
      <c r="AP1129" s="9"/>
      <c r="AQ1129" s="9"/>
      <c r="AR1129" s="9"/>
      <c r="AS1129" s="9"/>
      <c r="AT1129" s="9"/>
      <c r="AU1129" s="9"/>
      <c r="AV1129" s="9"/>
      <c r="AW1129" s="9"/>
      <c r="AX1129" s="9"/>
    </row>
    <row r="1130" spans="1:50" ht="15.75" customHeight="1" x14ac:dyDescent="0.2">
      <c r="A1130" s="9"/>
      <c r="B1130" s="9"/>
      <c r="C1130" s="9"/>
      <c r="D1130" s="9"/>
      <c r="E1130" s="9"/>
      <c r="F1130" s="9"/>
      <c r="G1130" s="9"/>
      <c r="H1130" s="9"/>
      <c r="I1130" s="9"/>
      <c r="J1130" s="9"/>
      <c r="K1130" s="9"/>
      <c r="L1130" s="9"/>
      <c r="M1130" s="9"/>
      <c r="N1130" s="9"/>
      <c r="O1130" s="212"/>
      <c r="P1130" s="9"/>
      <c r="Q1130" s="9"/>
      <c r="R1130" s="9"/>
      <c r="S1130" s="9"/>
      <c r="T1130" s="9"/>
      <c r="U1130" s="9"/>
      <c r="V1130" s="9"/>
      <c r="W1130" s="9"/>
      <c r="X1130" s="9"/>
      <c r="Y1130" s="9"/>
      <c r="Z1130" s="9"/>
      <c r="AA1130" s="212"/>
      <c r="AB1130" s="9"/>
      <c r="AC1130" s="9"/>
      <c r="AD1130" s="9"/>
      <c r="AE1130" s="9"/>
      <c r="AF1130" s="9"/>
      <c r="AG1130" s="9"/>
      <c r="AH1130" s="9"/>
      <c r="AI1130" s="9"/>
      <c r="AJ1130" s="9"/>
      <c r="AK1130" s="9"/>
      <c r="AL1130" s="9"/>
      <c r="AM1130" s="9"/>
      <c r="AN1130" s="9"/>
      <c r="AO1130" s="9"/>
      <c r="AP1130" s="9"/>
      <c r="AQ1130" s="9"/>
      <c r="AR1130" s="9"/>
      <c r="AS1130" s="9"/>
      <c r="AT1130" s="9"/>
      <c r="AU1130" s="9"/>
      <c r="AV1130" s="9"/>
      <c r="AW1130" s="9"/>
      <c r="AX1130" s="9"/>
    </row>
  </sheetData>
  <mergeCells count="40">
    <mergeCell ref="B345:C345"/>
    <mergeCell ref="B346:C346"/>
    <mergeCell ref="B325:C325"/>
    <mergeCell ref="B329:C329"/>
    <mergeCell ref="B330:C330"/>
    <mergeCell ref="B331:C331"/>
    <mergeCell ref="B335:C335"/>
    <mergeCell ref="B339:C339"/>
    <mergeCell ref="B323:C323"/>
    <mergeCell ref="B324:C324"/>
    <mergeCell ref="D324:O324"/>
    <mergeCell ref="B340:C340"/>
    <mergeCell ref="B344:C344"/>
    <mergeCell ref="D330:O330"/>
    <mergeCell ref="B288:C288"/>
    <mergeCell ref="B292:C292"/>
    <mergeCell ref="B303:C303"/>
    <mergeCell ref="B307:C307"/>
    <mergeCell ref="B319:C319"/>
    <mergeCell ref="P257:AA257"/>
    <mergeCell ref="AB257:AM257"/>
    <mergeCell ref="AO263:AP263"/>
    <mergeCell ref="AO275:AP282"/>
    <mergeCell ref="B277:C277"/>
    <mergeCell ref="B146:C146"/>
    <mergeCell ref="B256:C256"/>
    <mergeCell ref="B257:C257"/>
    <mergeCell ref="B262:C262"/>
    <mergeCell ref="D257:O257"/>
    <mergeCell ref="B137:C137"/>
    <mergeCell ref="B141:C141"/>
    <mergeCell ref="B144:C144"/>
    <mergeCell ref="B145:C145"/>
    <mergeCell ref="D145:O145"/>
    <mergeCell ref="B1:C1"/>
    <mergeCell ref="P1:AA1"/>
    <mergeCell ref="AB1:AM1"/>
    <mergeCell ref="D8:O8"/>
    <mergeCell ref="P8:AA8"/>
    <mergeCell ref="AB8:AM8"/>
  </mergeCells>
  <conditionalFormatting sqref="D12:AN13">
    <cfRule type="cellIs" dxfId="2" priority="2" operator="lessThan">
      <formula>0</formula>
    </cfRule>
  </conditionalFormatting>
  <conditionalFormatting sqref="D366:AN369">
    <cfRule type="cellIs" dxfId="1" priority="1" operator="lessThan">
      <formula>0</formula>
    </cfRule>
  </conditionalFormatting>
  <conditionalFormatting sqref="F2:F4">
    <cfRule type="cellIs" dxfId="0" priority="3" operator="lessThan">
      <formula>0</formula>
    </cfRule>
  </conditionalFormatting>
  <printOptions horizontalCentered="1" gridLines="1"/>
  <pageMargins left="0.7" right="0.7" top="0.75" bottom="0.75" header="0" footer="0"/>
  <pageSetup paperSize="9" fitToHeight="0" pageOrder="overThenDown" orientation="landscape" cellComments="atEnd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AA93"/>
  <sheetViews>
    <sheetView topLeftCell="A60" workbookViewId="0"/>
  </sheetViews>
  <sheetFormatPr defaultColWidth="12.5703125" defaultRowHeight="15" customHeight="1" x14ac:dyDescent="0.2"/>
  <cols>
    <col min="1" max="1" width="26.28515625" customWidth="1"/>
    <col min="2" max="3" width="13.85546875" customWidth="1"/>
    <col min="4" max="4" width="15" customWidth="1"/>
    <col min="5" max="5" width="15.28515625" customWidth="1"/>
    <col min="7" max="7" width="15" customWidth="1"/>
    <col min="11" max="11" width="14.140625" customWidth="1"/>
    <col min="13" max="13" width="14.140625" customWidth="1"/>
  </cols>
  <sheetData>
    <row r="1" spans="1:16" ht="12.75" hidden="1" x14ac:dyDescent="0.2"/>
    <row r="2" spans="1:16" ht="31.5" customHeight="1" x14ac:dyDescent="0.2">
      <c r="A2" s="382"/>
      <c r="B2" s="382"/>
      <c r="C2" s="382"/>
      <c r="D2" s="382"/>
      <c r="E2" s="382"/>
      <c r="F2" s="382"/>
      <c r="G2" s="382"/>
      <c r="H2" s="382"/>
      <c r="I2" s="382"/>
      <c r="J2" s="382"/>
      <c r="K2" s="382"/>
      <c r="L2" s="382"/>
      <c r="M2" s="382"/>
      <c r="N2" s="382"/>
      <c r="O2" s="382"/>
    </row>
    <row r="3" spans="1:16" ht="31.5" customHeight="1" x14ac:dyDescent="0.2">
      <c r="A3" s="382"/>
      <c r="B3" s="383" t="s">
        <v>313</v>
      </c>
      <c r="C3" s="384" t="s">
        <v>314</v>
      </c>
      <c r="D3" s="384"/>
      <c r="E3" s="384"/>
      <c r="F3" s="382"/>
      <c r="G3" s="382"/>
      <c r="H3" s="382"/>
      <c r="I3" s="382"/>
      <c r="J3" s="382"/>
      <c r="K3" s="382"/>
      <c r="L3" s="382"/>
      <c r="M3" s="382"/>
      <c r="N3" s="382"/>
      <c r="O3" s="382"/>
    </row>
    <row r="4" spans="1:16" ht="48" customHeight="1" x14ac:dyDescent="0.2">
      <c r="A4" s="501" t="s">
        <v>33</v>
      </c>
      <c r="B4" s="477"/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</row>
    <row r="5" spans="1:16" ht="25.5" x14ac:dyDescent="0.2">
      <c r="A5" s="385"/>
      <c r="B5" s="386" t="s">
        <v>315</v>
      </c>
      <c r="C5" s="387" t="s">
        <v>316</v>
      </c>
      <c r="D5" s="387" t="s">
        <v>317</v>
      </c>
      <c r="E5" s="387" t="s">
        <v>318</v>
      </c>
      <c r="F5" s="386" t="s">
        <v>319</v>
      </c>
      <c r="G5" s="386" t="s">
        <v>320</v>
      </c>
      <c r="H5" s="386" t="s">
        <v>321</v>
      </c>
      <c r="I5" s="386" t="s">
        <v>322</v>
      </c>
      <c r="J5" s="386" t="s">
        <v>323</v>
      </c>
      <c r="K5" s="386" t="s">
        <v>324</v>
      </c>
      <c r="L5" s="386" t="s">
        <v>325</v>
      </c>
      <c r="M5" s="387" t="s">
        <v>326</v>
      </c>
      <c r="N5" s="387" t="s">
        <v>327</v>
      </c>
      <c r="O5" s="388"/>
    </row>
    <row r="6" spans="1:16" ht="19.5" customHeight="1" x14ac:dyDescent="0.2">
      <c r="A6" s="389" t="s">
        <v>328</v>
      </c>
      <c r="B6" s="390">
        <f t="shared" ref="B6:B11" si="0">AVERAGE(C6:N6)</f>
        <v>99215.583333333328</v>
      </c>
      <c r="C6" s="391">
        <f t="shared" ref="C6:L6" si="1">E16</f>
        <v>93681</v>
      </c>
      <c r="D6" s="391">
        <f t="shared" si="1"/>
        <v>101005</v>
      </c>
      <c r="E6" s="391">
        <f t="shared" si="1"/>
        <v>129708</v>
      </c>
      <c r="F6" s="392">
        <f t="shared" si="1"/>
        <v>95785</v>
      </c>
      <c r="G6" s="392">
        <f t="shared" si="1"/>
        <v>95785</v>
      </c>
      <c r="H6" s="392">
        <f t="shared" si="1"/>
        <v>95785</v>
      </c>
      <c r="I6" s="392">
        <f t="shared" si="1"/>
        <v>95785</v>
      </c>
      <c r="J6" s="392">
        <f t="shared" si="1"/>
        <v>95785</v>
      </c>
      <c r="K6" s="392">
        <f t="shared" si="1"/>
        <v>95785</v>
      </c>
      <c r="L6" s="392">
        <f t="shared" si="1"/>
        <v>95785</v>
      </c>
      <c r="M6" s="391">
        <f t="shared" ref="M6:N6" si="2">C16</f>
        <v>95239</v>
      </c>
      <c r="N6" s="391">
        <f t="shared" si="2"/>
        <v>100459</v>
      </c>
      <c r="O6" s="393"/>
      <c r="P6" s="394"/>
    </row>
    <row r="7" spans="1:16" ht="23.25" customHeight="1" x14ac:dyDescent="0.2">
      <c r="A7" s="389" t="s">
        <v>329</v>
      </c>
      <c r="B7" s="395">
        <f t="shared" si="0"/>
        <v>1.0000000000000002</v>
      </c>
      <c r="C7" s="396">
        <f t="shared" ref="C7:N7" si="3">C6/$B6</f>
        <v>0.94421659231958699</v>
      </c>
      <c r="D7" s="396">
        <f t="shared" si="3"/>
        <v>1.0180356412425131</v>
      </c>
      <c r="E7" s="396">
        <f t="shared" si="3"/>
        <v>1.3073349532625504</v>
      </c>
      <c r="F7" s="397">
        <f t="shared" si="3"/>
        <v>0.96542293843289073</v>
      </c>
      <c r="G7" s="397">
        <f t="shared" si="3"/>
        <v>0.96542293843289073</v>
      </c>
      <c r="H7" s="397">
        <f t="shared" si="3"/>
        <v>0.96542293843289073</v>
      </c>
      <c r="I7" s="397">
        <f t="shared" si="3"/>
        <v>0.96542293843289073</v>
      </c>
      <c r="J7" s="397">
        <f t="shared" si="3"/>
        <v>0.96542293843289073</v>
      </c>
      <c r="K7" s="397">
        <f t="shared" si="3"/>
        <v>0.96542293843289073</v>
      </c>
      <c r="L7" s="397">
        <f t="shared" si="3"/>
        <v>0.96542293843289073</v>
      </c>
      <c r="M7" s="396">
        <f t="shared" si="3"/>
        <v>0.95991977066774625</v>
      </c>
      <c r="N7" s="396">
        <f t="shared" si="3"/>
        <v>1.0125324734773689</v>
      </c>
      <c r="O7" s="393"/>
    </row>
    <row r="8" spans="1:16" ht="23.25" customHeight="1" x14ac:dyDescent="0.2">
      <c r="A8" s="398" t="s">
        <v>330</v>
      </c>
      <c r="B8" s="390">
        <f t="shared" si="0"/>
        <v>34858.666666666664</v>
      </c>
      <c r="C8" s="391">
        <f t="shared" ref="C8:E8" si="4">E26</f>
        <v>35683</v>
      </c>
      <c r="D8" s="399">
        <f t="shared" si="4"/>
        <v>16456</v>
      </c>
      <c r="E8" s="399">
        <f t="shared" si="4"/>
        <v>41758</v>
      </c>
      <c r="F8" s="392">
        <v>31299</v>
      </c>
      <c r="G8" s="392">
        <v>31299</v>
      </c>
      <c r="H8" s="392">
        <v>31299</v>
      </c>
      <c r="I8" s="392">
        <v>31299</v>
      </c>
      <c r="J8" s="392">
        <v>31299</v>
      </c>
      <c r="K8" s="392">
        <v>31299</v>
      </c>
      <c r="L8" s="392">
        <v>31299</v>
      </c>
      <c r="M8" s="391">
        <f t="shared" ref="M8:N8" si="5">C26</f>
        <v>33355</v>
      </c>
      <c r="N8" s="391">
        <f t="shared" si="5"/>
        <v>71959</v>
      </c>
      <c r="O8" s="393"/>
      <c r="P8" s="394"/>
    </row>
    <row r="9" spans="1:16" ht="23.25" customHeight="1" x14ac:dyDescent="0.2">
      <c r="A9" s="389" t="s">
        <v>329</v>
      </c>
      <c r="B9" s="397">
        <f t="shared" si="0"/>
        <v>1</v>
      </c>
      <c r="C9" s="396">
        <f t="shared" ref="C9:N9" si="6">C8/$B8</f>
        <v>1.0236478733170136</v>
      </c>
      <c r="D9" s="396">
        <f t="shared" si="6"/>
        <v>0.47207772337821302</v>
      </c>
      <c r="E9" s="396">
        <f t="shared" si="6"/>
        <v>1.1979230416156672</v>
      </c>
      <c r="F9" s="396">
        <f t="shared" si="6"/>
        <v>0.89788287943696454</v>
      </c>
      <c r="G9" s="396">
        <f t="shared" si="6"/>
        <v>0.89788287943696454</v>
      </c>
      <c r="H9" s="396">
        <f t="shared" si="6"/>
        <v>0.89788287943696454</v>
      </c>
      <c r="I9" s="396">
        <f t="shared" si="6"/>
        <v>0.89788287943696454</v>
      </c>
      <c r="J9" s="396">
        <f t="shared" si="6"/>
        <v>0.89788287943696454</v>
      </c>
      <c r="K9" s="396">
        <f t="shared" si="6"/>
        <v>0.89788287943696454</v>
      </c>
      <c r="L9" s="396">
        <f t="shared" si="6"/>
        <v>0.89788287943696454</v>
      </c>
      <c r="M9" s="396">
        <f t="shared" si="6"/>
        <v>0.9568639075887394</v>
      </c>
      <c r="N9" s="396">
        <f t="shared" si="6"/>
        <v>2.0643072980416157</v>
      </c>
      <c r="O9" s="393"/>
      <c r="P9" s="394"/>
    </row>
    <row r="10" spans="1:16" ht="23.25" customHeight="1" x14ac:dyDescent="0.2">
      <c r="A10" s="398" t="s">
        <v>331</v>
      </c>
      <c r="B10" s="390">
        <f t="shared" si="0"/>
        <v>10873.666666666666</v>
      </c>
      <c r="C10" s="391">
        <f t="shared" ref="C10:E10" si="7">E38</f>
        <v>10812</v>
      </c>
      <c r="D10" s="399">
        <f t="shared" si="7"/>
        <v>5325</v>
      </c>
      <c r="E10" s="399">
        <f t="shared" si="7"/>
        <v>12720</v>
      </c>
      <c r="F10" s="392">
        <v>9619</v>
      </c>
      <c r="G10" s="392">
        <v>9619</v>
      </c>
      <c r="H10" s="392">
        <v>9619</v>
      </c>
      <c r="I10" s="392">
        <v>9619</v>
      </c>
      <c r="J10" s="392">
        <v>9619</v>
      </c>
      <c r="K10" s="392">
        <v>9619</v>
      </c>
      <c r="L10" s="392">
        <v>9619</v>
      </c>
      <c r="M10" s="391">
        <f t="shared" ref="M10:N10" si="8">C38</f>
        <v>11064</v>
      </c>
      <c r="N10" s="391">
        <f t="shared" si="8"/>
        <v>23230</v>
      </c>
      <c r="O10" s="393"/>
      <c r="P10" s="394"/>
    </row>
    <row r="11" spans="1:16" ht="23.25" customHeight="1" x14ac:dyDescent="0.2">
      <c r="A11" s="389" t="s">
        <v>329</v>
      </c>
      <c r="B11" s="395">
        <f t="shared" si="0"/>
        <v>1.0000000000000002</v>
      </c>
      <c r="C11" s="396">
        <f t="shared" ref="C11:N11" si="9">C10/$B10</f>
        <v>0.99432880659697742</v>
      </c>
      <c r="D11" s="396">
        <f t="shared" si="9"/>
        <v>0.48971521412586988</v>
      </c>
      <c r="E11" s="396">
        <f t="shared" si="9"/>
        <v>1.1697985959964441</v>
      </c>
      <c r="F11" s="396">
        <f t="shared" si="9"/>
        <v>0.88461420557309711</v>
      </c>
      <c r="G11" s="396">
        <f t="shared" si="9"/>
        <v>0.88461420557309711</v>
      </c>
      <c r="H11" s="396">
        <f t="shared" si="9"/>
        <v>0.88461420557309711</v>
      </c>
      <c r="I11" s="396">
        <f t="shared" si="9"/>
        <v>0.88461420557309711</v>
      </c>
      <c r="J11" s="396">
        <f t="shared" si="9"/>
        <v>0.88461420557309711</v>
      </c>
      <c r="K11" s="396">
        <f t="shared" si="9"/>
        <v>0.88461420557309711</v>
      </c>
      <c r="L11" s="396">
        <f t="shared" si="9"/>
        <v>0.88461420557309711</v>
      </c>
      <c r="M11" s="396">
        <f t="shared" si="9"/>
        <v>1.0175040618006805</v>
      </c>
      <c r="N11" s="396">
        <f t="shared" si="9"/>
        <v>2.1363538824683488</v>
      </c>
      <c r="O11" s="214"/>
    </row>
    <row r="13" spans="1:16" ht="28.5" customHeight="1" x14ac:dyDescent="0.2">
      <c r="A13" s="502" t="s">
        <v>332</v>
      </c>
      <c r="B13" s="477"/>
      <c r="C13" s="477"/>
      <c r="D13" s="477"/>
      <c r="E13" s="477"/>
      <c r="F13" s="477"/>
      <c r="G13" s="477"/>
      <c r="H13" s="477"/>
      <c r="I13" s="477"/>
      <c r="J13" s="477"/>
      <c r="K13" s="477"/>
      <c r="L13" s="477"/>
      <c r="M13" s="477"/>
      <c r="N13" s="477"/>
    </row>
    <row r="14" spans="1:16" ht="43.5" customHeight="1" x14ac:dyDescent="0.2">
      <c r="A14" s="503" t="s">
        <v>333</v>
      </c>
      <c r="B14" s="477"/>
      <c r="C14" s="477"/>
      <c r="D14" s="477"/>
      <c r="E14" s="477"/>
      <c r="F14" s="477"/>
      <c r="G14" s="477"/>
      <c r="H14" s="504" t="s">
        <v>334</v>
      </c>
      <c r="I14" s="477"/>
      <c r="J14" s="477"/>
      <c r="K14" s="477"/>
      <c r="L14" s="477"/>
      <c r="M14" s="477"/>
      <c r="N14" s="477"/>
      <c r="O14" s="477"/>
      <c r="P14" s="477"/>
    </row>
    <row r="15" spans="1:16" ht="38.25" x14ac:dyDescent="0.2">
      <c r="A15" s="232" t="s">
        <v>211</v>
      </c>
      <c r="B15" s="386" t="s">
        <v>335</v>
      </c>
      <c r="C15" s="387" t="s">
        <v>326</v>
      </c>
      <c r="D15" s="387" t="s">
        <v>327</v>
      </c>
      <c r="E15" s="387" t="s">
        <v>316</v>
      </c>
      <c r="F15" s="387" t="s">
        <v>317</v>
      </c>
      <c r="G15" s="386" t="s">
        <v>318</v>
      </c>
      <c r="H15" s="386" t="s">
        <v>319</v>
      </c>
      <c r="I15" s="386" t="s">
        <v>320</v>
      </c>
      <c r="J15" s="386" t="s">
        <v>321</v>
      </c>
      <c r="K15" s="386" t="s">
        <v>322</v>
      </c>
      <c r="L15" s="386" t="s">
        <v>323</v>
      </c>
      <c r="M15" s="386" t="s">
        <v>324</v>
      </c>
      <c r="N15" s="386" t="s">
        <v>325</v>
      </c>
      <c r="O15" s="386" t="s">
        <v>336</v>
      </c>
      <c r="P15" s="386" t="s">
        <v>337</v>
      </c>
    </row>
    <row r="16" spans="1:16" ht="15.75" x14ac:dyDescent="0.25">
      <c r="A16" s="400" t="s">
        <v>35</v>
      </c>
      <c r="B16" s="401">
        <f t="shared" ref="B16:B23" si="10">AVERAGE(C16:G16)</f>
        <v>104018.4</v>
      </c>
      <c r="C16" s="402">
        <v>95239</v>
      </c>
      <c r="D16" s="403">
        <v>100459</v>
      </c>
      <c r="E16" s="403">
        <v>93681</v>
      </c>
      <c r="F16" s="403">
        <v>101005</v>
      </c>
      <c r="G16" s="403">
        <v>129708</v>
      </c>
      <c r="H16" s="404">
        <v>95785</v>
      </c>
      <c r="I16" s="404">
        <v>95785</v>
      </c>
      <c r="J16" s="404">
        <v>95785</v>
      </c>
      <c r="K16" s="404">
        <v>95785</v>
      </c>
      <c r="L16" s="404">
        <v>95785</v>
      </c>
      <c r="M16" s="404">
        <v>95785</v>
      </c>
      <c r="N16" s="404">
        <v>95785</v>
      </c>
      <c r="O16" s="404">
        <f t="shared" ref="O16:P16" si="11">M6</f>
        <v>95239</v>
      </c>
      <c r="P16" s="404">
        <f t="shared" si="11"/>
        <v>100459</v>
      </c>
    </row>
    <row r="17" spans="1:16" ht="15.75" x14ac:dyDescent="0.25">
      <c r="A17" s="405" t="s">
        <v>36</v>
      </c>
      <c r="B17" s="406">
        <f t="shared" si="10"/>
        <v>8.3224385088797412E-2</v>
      </c>
      <c r="C17" s="407">
        <f t="shared" ref="C17:P17" si="12">C18/C16</f>
        <v>8.8367160511975143E-2</v>
      </c>
      <c r="D17" s="407">
        <f t="shared" si="12"/>
        <v>7.5324261639076642E-2</v>
      </c>
      <c r="E17" s="407">
        <f t="shared" si="12"/>
        <v>8.2300573221891313E-2</v>
      </c>
      <c r="F17" s="407">
        <f t="shared" si="12"/>
        <v>8.2193950794515122E-2</v>
      </c>
      <c r="G17" s="407">
        <f t="shared" si="12"/>
        <v>8.7935979276528825E-2</v>
      </c>
      <c r="H17" s="407">
        <f t="shared" si="12"/>
        <v>8.0002088009604844E-2</v>
      </c>
      <c r="I17" s="407">
        <f t="shared" si="12"/>
        <v>8.0002088009604844E-2</v>
      </c>
      <c r="J17" s="407">
        <f t="shared" si="12"/>
        <v>8.0002088009604844E-2</v>
      </c>
      <c r="K17" s="407">
        <f t="shared" si="12"/>
        <v>8.0002088009604844E-2</v>
      </c>
      <c r="L17" s="407">
        <f t="shared" si="12"/>
        <v>8.0002088009604844E-2</v>
      </c>
      <c r="M17" s="407">
        <f t="shared" si="12"/>
        <v>8.0002088009604844E-2</v>
      </c>
      <c r="N17" s="407">
        <f t="shared" si="12"/>
        <v>8.0002088009604844E-2</v>
      </c>
      <c r="O17" s="407">
        <f t="shared" si="12"/>
        <v>8.0460735623011578E-2</v>
      </c>
      <c r="P17" s="407">
        <f t="shared" si="12"/>
        <v>7.6279875372042324E-2</v>
      </c>
    </row>
    <row r="18" spans="1:16" ht="15.75" x14ac:dyDescent="0.25">
      <c r="A18" s="408" t="s">
        <v>37</v>
      </c>
      <c r="B18" s="409">
        <f t="shared" si="10"/>
        <v>8680.2000000000007</v>
      </c>
      <c r="C18" s="410">
        <v>8416</v>
      </c>
      <c r="D18" s="403">
        <v>7567</v>
      </c>
      <c r="E18" s="403">
        <v>7710</v>
      </c>
      <c r="F18" s="403">
        <v>8302</v>
      </c>
      <c r="G18" s="403">
        <v>11406</v>
      </c>
      <c r="H18" s="404">
        <v>7663</v>
      </c>
      <c r="I18" s="404">
        <v>7663</v>
      </c>
      <c r="J18" s="404">
        <v>7663</v>
      </c>
      <c r="K18" s="404">
        <v>7663</v>
      </c>
      <c r="L18" s="404">
        <v>7663</v>
      </c>
      <c r="M18" s="404">
        <v>7663</v>
      </c>
      <c r="N18" s="404">
        <v>7663</v>
      </c>
      <c r="O18" s="404">
        <v>7663</v>
      </c>
      <c r="P18" s="404">
        <v>7663</v>
      </c>
    </row>
    <row r="19" spans="1:16" ht="15.75" x14ac:dyDescent="0.25">
      <c r="A19" s="405" t="s">
        <v>38</v>
      </c>
      <c r="B19" s="406">
        <f t="shared" si="10"/>
        <v>0.29067506784030195</v>
      </c>
      <c r="C19" s="411">
        <f t="shared" ref="C19:P19" si="13">C20/C18</f>
        <v>0.26782319391634979</v>
      </c>
      <c r="D19" s="411">
        <f t="shared" si="13"/>
        <v>0.32337782476542881</v>
      </c>
      <c r="E19" s="411">
        <f t="shared" si="13"/>
        <v>0.24228274967574578</v>
      </c>
      <c r="F19" s="411">
        <f t="shared" si="13"/>
        <v>0.28559383281137074</v>
      </c>
      <c r="G19" s="411">
        <f t="shared" si="13"/>
        <v>0.33429773803261442</v>
      </c>
      <c r="H19" s="411">
        <f t="shared" si="13"/>
        <v>0.28996476575753621</v>
      </c>
      <c r="I19" s="411">
        <f t="shared" si="13"/>
        <v>0.28996476575753621</v>
      </c>
      <c r="J19" s="411">
        <f t="shared" si="13"/>
        <v>0.28996476575753621</v>
      </c>
      <c r="K19" s="411">
        <f t="shared" si="13"/>
        <v>0.28996476575753621</v>
      </c>
      <c r="L19" s="411">
        <f t="shared" si="13"/>
        <v>0.28996476575753621</v>
      </c>
      <c r="M19" s="411">
        <f t="shared" si="13"/>
        <v>0.28996476575753621</v>
      </c>
      <c r="N19" s="411">
        <f t="shared" si="13"/>
        <v>0.28996476575753621</v>
      </c>
      <c r="O19" s="411">
        <f t="shared" si="13"/>
        <v>0.28996476575753621</v>
      </c>
      <c r="P19" s="411">
        <f t="shared" si="13"/>
        <v>0.28996476575753621</v>
      </c>
    </row>
    <row r="20" spans="1:16" ht="15.75" x14ac:dyDescent="0.25">
      <c r="A20" s="408" t="s">
        <v>39</v>
      </c>
      <c r="B20" s="401">
        <f t="shared" si="10"/>
        <v>2550.6</v>
      </c>
      <c r="C20" s="412">
        <v>2254</v>
      </c>
      <c r="D20" s="403">
        <v>2447</v>
      </c>
      <c r="E20" s="403">
        <v>1868</v>
      </c>
      <c r="F20" s="403">
        <v>2371</v>
      </c>
      <c r="G20" s="413">
        <v>3813</v>
      </c>
      <c r="H20" s="414">
        <v>2222</v>
      </c>
      <c r="I20" s="414">
        <v>2222</v>
      </c>
      <c r="J20" s="414">
        <v>2222</v>
      </c>
      <c r="K20" s="414">
        <v>2222</v>
      </c>
      <c r="L20" s="414">
        <v>2222</v>
      </c>
      <c r="M20" s="414">
        <v>2222</v>
      </c>
      <c r="N20" s="414">
        <v>2222</v>
      </c>
      <c r="O20" s="414">
        <v>2222</v>
      </c>
      <c r="P20" s="414">
        <v>2222</v>
      </c>
    </row>
    <row r="21" spans="1:16" ht="15.75" x14ac:dyDescent="0.25">
      <c r="A21" s="405" t="s">
        <v>40</v>
      </c>
      <c r="B21" s="406">
        <f t="shared" si="10"/>
        <v>0.81079421002184093</v>
      </c>
      <c r="C21" s="411">
        <f t="shared" ref="C21:P21" si="14">C22/C20</f>
        <v>0.84383318544809227</v>
      </c>
      <c r="D21" s="411">
        <f t="shared" si="14"/>
        <v>0.82876992235390279</v>
      </c>
      <c r="E21" s="411">
        <f t="shared" si="14"/>
        <v>0.81531049250535337</v>
      </c>
      <c r="F21" s="411">
        <f t="shared" si="14"/>
        <v>0.76170392239561369</v>
      </c>
      <c r="G21" s="415">
        <f t="shared" si="14"/>
        <v>0.80435352740624178</v>
      </c>
      <c r="H21" s="415">
        <f t="shared" si="14"/>
        <v>0.81008100810081007</v>
      </c>
      <c r="I21" s="415">
        <f t="shared" si="14"/>
        <v>0.81008100810081007</v>
      </c>
      <c r="J21" s="415">
        <f t="shared" si="14"/>
        <v>0.81008100810081007</v>
      </c>
      <c r="K21" s="415">
        <f t="shared" si="14"/>
        <v>0.81008100810081007</v>
      </c>
      <c r="L21" s="415">
        <f t="shared" si="14"/>
        <v>0.81008100810081007</v>
      </c>
      <c r="M21" s="415">
        <f t="shared" si="14"/>
        <v>0.81008100810081007</v>
      </c>
      <c r="N21" s="415">
        <f t="shared" si="14"/>
        <v>0.81008100810081007</v>
      </c>
      <c r="O21" s="415">
        <f t="shared" si="14"/>
        <v>0.81008100810081007</v>
      </c>
      <c r="P21" s="415">
        <f t="shared" si="14"/>
        <v>0.81008100810081007</v>
      </c>
    </row>
    <row r="22" spans="1:16" ht="15.75" x14ac:dyDescent="0.25">
      <c r="A22" s="408" t="s">
        <v>41</v>
      </c>
      <c r="B22" s="401">
        <f t="shared" si="10"/>
        <v>2065.1999999999998</v>
      </c>
      <c r="C22" s="412">
        <v>1902</v>
      </c>
      <c r="D22" s="403">
        <v>2028</v>
      </c>
      <c r="E22" s="403">
        <v>1523</v>
      </c>
      <c r="F22" s="403">
        <v>1806</v>
      </c>
      <c r="G22" s="416">
        <v>3067</v>
      </c>
      <c r="H22" s="417">
        <v>1800</v>
      </c>
      <c r="I22" s="417">
        <v>1800</v>
      </c>
      <c r="J22" s="417">
        <v>1800</v>
      </c>
      <c r="K22" s="417">
        <v>1800</v>
      </c>
      <c r="L22" s="417">
        <v>1800</v>
      </c>
      <c r="M22" s="417">
        <v>1800</v>
      </c>
      <c r="N22" s="417">
        <v>1800</v>
      </c>
      <c r="O22" s="417">
        <v>1800</v>
      </c>
      <c r="P22" s="417">
        <v>1800</v>
      </c>
    </row>
    <row r="23" spans="1:16" ht="15.75" x14ac:dyDescent="0.25">
      <c r="A23" s="408" t="s">
        <v>44</v>
      </c>
      <c r="B23" s="401">
        <f t="shared" si="10"/>
        <v>495.2</v>
      </c>
      <c r="C23" s="412">
        <v>505</v>
      </c>
      <c r="D23" s="413">
        <v>492</v>
      </c>
      <c r="E23" s="413">
        <v>496</v>
      </c>
      <c r="F23" s="413">
        <v>504</v>
      </c>
      <c r="G23" s="416">
        <v>479</v>
      </c>
      <c r="H23" s="417">
        <v>479</v>
      </c>
      <c r="I23" s="417">
        <v>479</v>
      </c>
      <c r="J23" s="417">
        <v>479</v>
      </c>
      <c r="K23" s="417">
        <v>479</v>
      </c>
      <c r="L23" s="417">
        <v>479</v>
      </c>
      <c r="M23" s="417">
        <v>479</v>
      </c>
      <c r="N23" s="417">
        <v>479</v>
      </c>
      <c r="O23" s="417">
        <v>479</v>
      </c>
      <c r="P23" s="417">
        <v>479</v>
      </c>
    </row>
    <row r="24" spans="1:16" ht="12.75" x14ac:dyDescent="0.2">
      <c r="H24" s="418"/>
    </row>
    <row r="25" spans="1:16" ht="38.25" x14ac:dyDescent="0.2">
      <c r="A25" s="232" t="s">
        <v>223</v>
      </c>
      <c r="B25" s="386" t="s">
        <v>335</v>
      </c>
      <c r="C25" s="387" t="s">
        <v>326</v>
      </c>
      <c r="D25" s="387" t="s">
        <v>327</v>
      </c>
      <c r="E25" s="387" t="s">
        <v>316</v>
      </c>
      <c r="F25" s="387" t="s">
        <v>317</v>
      </c>
      <c r="G25" s="386" t="s">
        <v>318</v>
      </c>
      <c r="H25" s="386" t="s">
        <v>319</v>
      </c>
      <c r="I25" s="386" t="s">
        <v>320</v>
      </c>
      <c r="J25" s="386" t="s">
        <v>321</v>
      </c>
      <c r="K25" s="386" t="s">
        <v>322</v>
      </c>
      <c r="L25" s="386" t="s">
        <v>323</v>
      </c>
      <c r="M25" s="386" t="s">
        <v>324</v>
      </c>
      <c r="N25" s="386" t="s">
        <v>325</v>
      </c>
      <c r="O25" s="386" t="s">
        <v>336</v>
      </c>
      <c r="P25" s="386" t="s">
        <v>337</v>
      </c>
    </row>
    <row r="26" spans="1:16" ht="15.75" x14ac:dyDescent="0.25">
      <c r="A26" s="400" t="s">
        <v>35</v>
      </c>
      <c r="B26" s="401">
        <f t="shared" ref="B26:B33" si="15">AVERAGE(C26:G26)</f>
        <v>39842.199999999997</v>
      </c>
      <c r="C26" s="402">
        <v>33355</v>
      </c>
      <c r="D26" s="403">
        <v>71959</v>
      </c>
      <c r="E26" s="403">
        <v>35683</v>
      </c>
      <c r="F26" s="413">
        <v>16456</v>
      </c>
      <c r="G26" s="419">
        <v>41758</v>
      </c>
      <c r="H26" s="404"/>
      <c r="I26" s="404"/>
      <c r="J26" s="404"/>
      <c r="K26" s="404"/>
      <c r="L26" s="404"/>
      <c r="M26" s="404"/>
      <c r="N26" s="404"/>
      <c r="O26" s="404"/>
      <c r="P26" s="404"/>
    </row>
    <row r="27" spans="1:16" ht="15.75" x14ac:dyDescent="0.25">
      <c r="A27" s="405" t="s">
        <v>36</v>
      </c>
      <c r="B27" s="406">
        <f t="shared" si="15"/>
        <v>0.25655445113675068</v>
      </c>
      <c r="C27" s="407">
        <f t="shared" ref="C27:P27" si="16">C28/C26</f>
        <v>0.24844850846949482</v>
      </c>
      <c r="D27" s="407">
        <f t="shared" si="16"/>
        <v>0.24400005558720939</v>
      </c>
      <c r="E27" s="407">
        <f t="shared" si="16"/>
        <v>0.253650197573074</v>
      </c>
      <c r="F27" s="407">
        <f t="shared" si="16"/>
        <v>0.23529411764705882</v>
      </c>
      <c r="G27" s="407">
        <f t="shared" si="16"/>
        <v>0.30137937640691603</v>
      </c>
      <c r="H27" s="407" t="e">
        <f t="shared" si="16"/>
        <v>#DIV/0!</v>
      </c>
      <c r="I27" s="407" t="e">
        <f t="shared" si="16"/>
        <v>#DIV/0!</v>
      </c>
      <c r="J27" s="407" t="e">
        <f t="shared" si="16"/>
        <v>#DIV/0!</v>
      </c>
      <c r="K27" s="407" t="e">
        <f t="shared" si="16"/>
        <v>#DIV/0!</v>
      </c>
      <c r="L27" s="407" t="e">
        <f t="shared" si="16"/>
        <v>#DIV/0!</v>
      </c>
      <c r="M27" s="407" t="e">
        <f t="shared" si="16"/>
        <v>#DIV/0!</v>
      </c>
      <c r="N27" s="407" t="e">
        <f t="shared" si="16"/>
        <v>#DIV/0!</v>
      </c>
      <c r="O27" s="407" t="e">
        <f t="shared" si="16"/>
        <v>#DIV/0!</v>
      </c>
      <c r="P27" s="407" t="e">
        <f t="shared" si="16"/>
        <v>#DIV/0!</v>
      </c>
    </row>
    <row r="28" spans="1:16" ht="15.75" x14ac:dyDescent="0.25">
      <c r="A28" s="408" t="s">
        <v>37</v>
      </c>
      <c r="B28" s="409">
        <f t="shared" si="15"/>
        <v>10270.6</v>
      </c>
      <c r="C28" s="410">
        <v>8287</v>
      </c>
      <c r="D28" s="403">
        <v>17558</v>
      </c>
      <c r="E28" s="403">
        <v>9051</v>
      </c>
      <c r="F28" s="413">
        <v>3872</v>
      </c>
      <c r="G28" s="419">
        <v>12585</v>
      </c>
      <c r="H28" s="404"/>
      <c r="I28" s="404"/>
      <c r="J28" s="404"/>
      <c r="K28" s="404"/>
      <c r="L28" s="404"/>
      <c r="M28" s="404"/>
      <c r="N28" s="404"/>
      <c r="O28" s="404"/>
      <c r="P28" s="404"/>
    </row>
    <row r="29" spans="1:16" ht="15.75" x14ac:dyDescent="0.25">
      <c r="A29" s="405" t="s">
        <v>38</v>
      </c>
      <c r="B29" s="406">
        <f t="shared" si="15"/>
        <v>0.28090666632940853</v>
      </c>
      <c r="C29" s="411">
        <f t="shared" ref="C29:P29" si="17">C30/C28</f>
        <v>0.27018221310486301</v>
      </c>
      <c r="D29" s="411">
        <f t="shared" si="17"/>
        <v>0.25948285681740518</v>
      </c>
      <c r="E29" s="411">
        <f t="shared" si="17"/>
        <v>0.29609987846646779</v>
      </c>
      <c r="F29" s="411">
        <f t="shared" si="17"/>
        <v>0.30010330578512395</v>
      </c>
      <c r="G29" s="411">
        <f t="shared" si="17"/>
        <v>0.27866507747318237</v>
      </c>
      <c r="H29" s="411" t="e">
        <f t="shared" si="17"/>
        <v>#DIV/0!</v>
      </c>
      <c r="I29" s="411" t="e">
        <f t="shared" si="17"/>
        <v>#DIV/0!</v>
      </c>
      <c r="J29" s="411" t="e">
        <f t="shared" si="17"/>
        <v>#DIV/0!</v>
      </c>
      <c r="K29" s="411" t="e">
        <f t="shared" si="17"/>
        <v>#DIV/0!</v>
      </c>
      <c r="L29" s="411" t="e">
        <f t="shared" si="17"/>
        <v>#DIV/0!</v>
      </c>
      <c r="M29" s="411" t="e">
        <f t="shared" si="17"/>
        <v>#DIV/0!</v>
      </c>
      <c r="N29" s="411" t="e">
        <f t="shared" si="17"/>
        <v>#DIV/0!</v>
      </c>
      <c r="O29" s="411" t="e">
        <f t="shared" si="17"/>
        <v>#DIV/0!</v>
      </c>
      <c r="P29" s="411" t="e">
        <f t="shared" si="17"/>
        <v>#DIV/0!</v>
      </c>
    </row>
    <row r="30" spans="1:16" ht="15.75" x14ac:dyDescent="0.25">
      <c r="A30" s="408" t="s">
        <v>39</v>
      </c>
      <c r="B30" s="401">
        <f t="shared" si="15"/>
        <v>2828.8</v>
      </c>
      <c r="C30" s="412">
        <v>2239</v>
      </c>
      <c r="D30" s="403">
        <v>4556</v>
      </c>
      <c r="E30" s="403">
        <v>2680</v>
      </c>
      <c r="F30" s="413">
        <v>1162</v>
      </c>
      <c r="G30" s="419">
        <v>3507</v>
      </c>
      <c r="H30" s="420"/>
      <c r="I30" s="420"/>
      <c r="J30" s="420"/>
      <c r="K30" s="420"/>
      <c r="L30" s="420"/>
      <c r="M30" s="420"/>
      <c r="N30" s="420"/>
      <c r="O30" s="420"/>
      <c r="P30" s="420"/>
    </row>
    <row r="31" spans="1:16" ht="15.75" x14ac:dyDescent="0.25">
      <c r="A31" s="405" t="s">
        <v>40</v>
      </c>
      <c r="B31" s="406">
        <f t="shared" si="15"/>
        <v>0.91101158833203877</v>
      </c>
      <c r="C31" s="411">
        <f t="shared" ref="C31:P31" si="18">C32/C30</f>
        <v>0.93925859758820907</v>
      </c>
      <c r="D31" s="411">
        <f t="shared" si="18"/>
        <v>0.9201053555750659</v>
      </c>
      <c r="E31" s="411">
        <f t="shared" si="18"/>
        <v>0.92126865671641789</v>
      </c>
      <c r="F31" s="411">
        <f t="shared" si="18"/>
        <v>0.85283993115318413</v>
      </c>
      <c r="G31" s="415">
        <f t="shared" si="18"/>
        <v>0.92158540062731675</v>
      </c>
      <c r="H31" s="415" t="e">
        <f t="shared" si="18"/>
        <v>#DIV/0!</v>
      </c>
      <c r="I31" s="415" t="e">
        <f t="shared" si="18"/>
        <v>#DIV/0!</v>
      </c>
      <c r="J31" s="415" t="e">
        <f t="shared" si="18"/>
        <v>#DIV/0!</v>
      </c>
      <c r="K31" s="415" t="e">
        <f t="shared" si="18"/>
        <v>#DIV/0!</v>
      </c>
      <c r="L31" s="415" t="e">
        <f t="shared" si="18"/>
        <v>#DIV/0!</v>
      </c>
      <c r="M31" s="415" t="e">
        <f t="shared" si="18"/>
        <v>#DIV/0!</v>
      </c>
      <c r="N31" s="415" t="e">
        <f t="shared" si="18"/>
        <v>#DIV/0!</v>
      </c>
      <c r="O31" s="415" t="e">
        <f t="shared" si="18"/>
        <v>#DIV/0!</v>
      </c>
      <c r="P31" s="415" t="e">
        <f t="shared" si="18"/>
        <v>#DIV/0!</v>
      </c>
    </row>
    <row r="32" spans="1:16" ht="15.75" x14ac:dyDescent="0.25">
      <c r="A32" s="408" t="s">
        <v>41</v>
      </c>
      <c r="B32" s="401">
        <f t="shared" si="15"/>
        <v>2597.4</v>
      </c>
      <c r="C32" s="412">
        <v>2103</v>
      </c>
      <c r="D32" s="403">
        <v>4192</v>
      </c>
      <c r="E32" s="403">
        <v>2469</v>
      </c>
      <c r="F32" s="413">
        <v>991</v>
      </c>
      <c r="G32" s="421">
        <v>3232</v>
      </c>
      <c r="H32" s="417"/>
      <c r="I32" s="417"/>
      <c r="J32" s="417"/>
      <c r="K32" s="417"/>
      <c r="L32" s="417"/>
      <c r="M32" s="417"/>
      <c r="N32" s="417"/>
      <c r="O32" s="417"/>
      <c r="P32" s="417"/>
    </row>
    <row r="33" spans="1:27" ht="15.75" x14ac:dyDescent="0.25">
      <c r="A33" s="408" t="s">
        <v>44</v>
      </c>
      <c r="B33" s="401">
        <f t="shared" si="15"/>
        <v>502.6</v>
      </c>
      <c r="C33" s="412">
        <v>528</v>
      </c>
      <c r="D33" s="413">
        <v>521</v>
      </c>
      <c r="E33" s="413">
        <v>496</v>
      </c>
      <c r="F33" s="413">
        <v>499</v>
      </c>
      <c r="G33" s="421">
        <v>469</v>
      </c>
      <c r="H33" s="417"/>
      <c r="I33" s="417"/>
      <c r="J33" s="417"/>
      <c r="K33" s="417"/>
      <c r="L33" s="417"/>
      <c r="M33" s="417"/>
      <c r="N33" s="417"/>
      <c r="O33" s="417"/>
      <c r="P33" s="417"/>
    </row>
    <row r="34" spans="1:27" ht="15.75" x14ac:dyDescent="0.2">
      <c r="A34" s="422" t="s">
        <v>338</v>
      </c>
      <c r="B34" s="423">
        <f t="shared" ref="B34:G34" si="19">B30/B26</f>
        <v>7.1000095376259356E-2</v>
      </c>
      <c r="C34" s="424">
        <f t="shared" si="19"/>
        <v>6.7126367860890421E-2</v>
      </c>
      <c r="D34" s="424">
        <f t="shared" si="19"/>
        <v>6.3313831487374753E-2</v>
      </c>
      <c r="E34" s="424">
        <f t="shared" si="19"/>
        <v>7.5105792674382763E-2</v>
      </c>
      <c r="F34" s="424">
        <f t="shared" si="19"/>
        <v>7.0612542537676223E-2</v>
      </c>
      <c r="G34" s="424">
        <f t="shared" si="19"/>
        <v>8.3983907275252651E-2</v>
      </c>
      <c r="H34" s="425"/>
      <c r="I34" s="426"/>
      <c r="J34" s="426"/>
      <c r="K34" s="426"/>
      <c r="L34" s="426"/>
      <c r="M34" s="426"/>
      <c r="N34" s="426"/>
      <c r="O34" s="426"/>
      <c r="P34" s="426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</row>
    <row r="35" spans="1:27" ht="12.75" x14ac:dyDescent="0.2">
      <c r="H35" s="214"/>
    </row>
    <row r="36" spans="1:27" ht="12.75" x14ac:dyDescent="0.2">
      <c r="H36" s="214"/>
    </row>
    <row r="37" spans="1:27" ht="38.25" x14ac:dyDescent="0.2">
      <c r="A37" s="232" t="s">
        <v>224</v>
      </c>
      <c r="B37" s="386" t="s">
        <v>335</v>
      </c>
      <c r="C37" s="387" t="s">
        <v>326</v>
      </c>
      <c r="D37" s="387" t="s">
        <v>327</v>
      </c>
      <c r="E37" s="387" t="s">
        <v>316</v>
      </c>
      <c r="F37" s="387" t="s">
        <v>317</v>
      </c>
      <c r="G37" s="386" t="s">
        <v>318</v>
      </c>
      <c r="H37" s="386" t="s">
        <v>319</v>
      </c>
      <c r="I37" s="386" t="s">
        <v>320</v>
      </c>
      <c r="J37" s="386" t="s">
        <v>321</v>
      </c>
      <c r="K37" s="386" t="s">
        <v>322</v>
      </c>
      <c r="L37" s="386" t="s">
        <v>323</v>
      </c>
      <c r="M37" s="386" t="s">
        <v>324</v>
      </c>
      <c r="N37" s="386" t="s">
        <v>325</v>
      </c>
      <c r="O37" s="386" t="s">
        <v>336</v>
      </c>
      <c r="P37" s="386" t="s">
        <v>337</v>
      </c>
    </row>
    <row r="38" spans="1:27" ht="15.75" x14ac:dyDescent="0.25">
      <c r="A38" s="400" t="s">
        <v>35</v>
      </c>
      <c r="B38" s="401">
        <f t="shared" ref="B38:B45" si="20">AVERAGE(C38:G38)</f>
        <v>12630.2</v>
      </c>
      <c r="C38" s="402">
        <v>11064</v>
      </c>
      <c r="D38" s="403">
        <v>23230</v>
      </c>
      <c r="E38" s="403">
        <v>10812</v>
      </c>
      <c r="F38" s="413">
        <v>5325</v>
      </c>
      <c r="G38" s="419">
        <v>12720</v>
      </c>
      <c r="H38" s="404"/>
      <c r="I38" s="404"/>
      <c r="J38" s="404"/>
      <c r="K38" s="404"/>
      <c r="L38" s="404"/>
      <c r="M38" s="404"/>
      <c r="N38" s="404"/>
      <c r="O38" s="404"/>
      <c r="P38" s="404"/>
    </row>
    <row r="39" spans="1:27" ht="15.75" x14ac:dyDescent="0.25">
      <c r="A39" s="405" t="s">
        <v>36</v>
      </c>
      <c r="B39" s="406">
        <f t="shared" si="20"/>
        <v>0.11061682788096458</v>
      </c>
      <c r="C39" s="407">
        <f t="shared" ref="C39:F39" si="21">C40/C38</f>
        <v>0.10809833694866233</v>
      </c>
      <c r="D39" s="407">
        <f t="shared" si="21"/>
        <v>0.11123547137322427</v>
      </c>
      <c r="E39" s="407">
        <f t="shared" si="21"/>
        <v>0.12116167221605624</v>
      </c>
      <c r="F39" s="407">
        <f t="shared" si="21"/>
        <v>0.10197183098591549</v>
      </c>
      <c r="G39" s="406">
        <f>AVERAGE(C39:F39)</f>
        <v>0.11061682788096458</v>
      </c>
      <c r="H39" s="407" t="e">
        <f t="shared" ref="H39:P39" si="22">H40/H38</f>
        <v>#DIV/0!</v>
      </c>
      <c r="I39" s="407" t="e">
        <f t="shared" si="22"/>
        <v>#DIV/0!</v>
      </c>
      <c r="J39" s="407" t="e">
        <f t="shared" si="22"/>
        <v>#DIV/0!</v>
      </c>
      <c r="K39" s="407" t="e">
        <f t="shared" si="22"/>
        <v>#DIV/0!</v>
      </c>
      <c r="L39" s="407" t="e">
        <f t="shared" si="22"/>
        <v>#DIV/0!</v>
      </c>
      <c r="M39" s="407" t="e">
        <f t="shared" si="22"/>
        <v>#DIV/0!</v>
      </c>
      <c r="N39" s="407" t="e">
        <f t="shared" si="22"/>
        <v>#DIV/0!</v>
      </c>
      <c r="O39" s="407" t="e">
        <f t="shared" si="22"/>
        <v>#DIV/0!</v>
      </c>
      <c r="P39" s="407" t="e">
        <f t="shared" si="22"/>
        <v>#DIV/0!</v>
      </c>
    </row>
    <row r="40" spans="1:27" ht="15.75" x14ac:dyDescent="0.25">
      <c r="A40" s="408" t="s">
        <v>37</v>
      </c>
      <c r="B40" s="409">
        <f t="shared" si="20"/>
        <v>1400</v>
      </c>
      <c r="C40" s="410">
        <v>1196</v>
      </c>
      <c r="D40" s="403">
        <v>2584</v>
      </c>
      <c r="E40" s="403">
        <v>1310</v>
      </c>
      <c r="F40" s="413">
        <v>543</v>
      </c>
      <c r="G40" s="419">
        <v>1367</v>
      </c>
      <c r="H40" s="404"/>
      <c r="I40" s="404"/>
      <c r="J40" s="404"/>
      <c r="K40" s="404"/>
      <c r="L40" s="404"/>
      <c r="M40" s="404"/>
      <c r="N40" s="404"/>
      <c r="O40" s="404"/>
      <c r="P40" s="404"/>
    </row>
    <row r="41" spans="1:27" ht="15.75" x14ac:dyDescent="0.25">
      <c r="A41" s="405" t="s">
        <v>38</v>
      </c>
      <c r="B41" s="406">
        <f t="shared" si="20"/>
        <v>0.38496178283592064</v>
      </c>
      <c r="C41" s="411">
        <f t="shared" ref="C41:F41" si="23">C42/C40</f>
        <v>0.33361204013377926</v>
      </c>
      <c r="D41" s="411">
        <f t="shared" si="23"/>
        <v>0.37151702786377711</v>
      </c>
      <c r="E41" s="411">
        <f t="shared" si="23"/>
        <v>0.38167938931297712</v>
      </c>
      <c r="F41" s="411">
        <f t="shared" si="23"/>
        <v>0.45303867403314918</v>
      </c>
      <c r="G41" s="406">
        <f>AVERAGE(C41:F41)</f>
        <v>0.38496178283592064</v>
      </c>
      <c r="H41" s="411" t="e">
        <f t="shared" ref="H41:P41" si="24">H42/H40</f>
        <v>#DIV/0!</v>
      </c>
      <c r="I41" s="411" t="e">
        <f t="shared" si="24"/>
        <v>#DIV/0!</v>
      </c>
      <c r="J41" s="411" t="e">
        <f t="shared" si="24"/>
        <v>#DIV/0!</v>
      </c>
      <c r="K41" s="411" t="e">
        <f t="shared" si="24"/>
        <v>#DIV/0!</v>
      </c>
      <c r="L41" s="411" t="e">
        <f t="shared" si="24"/>
        <v>#DIV/0!</v>
      </c>
      <c r="M41" s="411" t="e">
        <f t="shared" si="24"/>
        <v>#DIV/0!</v>
      </c>
      <c r="N41" s="411" t="e">
        <f t="shared" si="24"/>
        <v>#DIV/0!</v>
      </c>
      <c r="O41" s="411" t="e">
        <f t="shared" si="24"/>
        <v>#DIV/0!</v>
      </c>
      <c r="P41" s="411" t="e">
        <f t="shared" si="24"/>
        <v>#DIV/0!</v>
      </c>
    </row>
    <row r="42" spans="1:27" ht="15.75" x14ac:dyDescent="0.25">
      <c r="A42" s="408" t="s">
        <v>39</v>
      </c>
      <c r="B42" s="401">
        <f t="shared" si="20"/>
        <v>529.4</v>
      </c>
      <c r="C42" s="412">
        <v>399</v>
      </c>
      <c r="D42" s="403">
        <v>960</v>
      </c>
      <c r="E42" s="403">
        <v>500</v>
      </c>
      <c r="F42" s="413">
        <v>246</v>
      </c>
      <c r="G42" s="419">
        <v>542</v>
      </c>
      <c r="H42" s="420"/>
      <c r="I42" s="420"/>
      <c r="J42" s="420"/>
      <c r="K42" s="420"/>
      <c r="L42" s="420"/>
      <c r="M42" s="420"/>
      <c r="N42" s="420"/>
      <c r="O42" s="420"/>
      <c r="P42" s="420"/>
    </row>
    <row r="43" spans="1:27" ht="15.75" x14ac:dyDescent="0.25">
      <c r="A43" s="405" t="s">
        <v>40</v>
      </c>
      <c r="B43" s="406">
        <f t="shared" si="20"/>
        <v>0.92716066079833737</v>
      </c>
      <c r="C43" s="411">
        <f t="shared" ref="C43:F43" si="25">C44/C42</f>
        <v>0.94486215538847118</v>
      </c>
      <c r="D43" s="411">
        <f t="shared" si="25"/>
        <v>0.94166666666666665</v>
      </c>
      <c r="E43" s="411">
        <f t="shared" si="25"/>
        <v>0.94</v>
      </c>
      <c r="F43" s="411">
        <f t="shared" si="25"/>
        <v>0.88211382113821135</v>
      </c>
      <c r="G43" s="406">
        <f>AVERAGE(C43:F43)</f>
        <v>0.92716066079833737</v>
      </c>
      <c r="H43" s="415" t="e">
        <f t="shared" ref="H43:P43" si="26">H44/H42</f>
        <v>#DIV/0!</v>
      </c>
      <c r="I43" s="415" t="e">
        <f t="shared" si="26"/>
        <v>#DIV/0!</v>
      </c>
      <c r="J43" s="415" t="e">
        <f t="shared" si="26"/>
        <v>#DIV/0!</v>
      </c>
      <c r="K43" s="415" t="e">
        <f t="shared" si="26"/>
        <v>#DIV/0!</v>
      </c>
      <c r="L43" s="415" t="e">
        <f t="shared" si="26"/>
        <v>#DIV/0!</v>
      </c>
      <c r="M43" s="415" t="e">
        <f t="shared" si="26"/>
        <v>#DIV/0!</v>
      </c>
      <c r="N43" s="415" t="e">
        <f t="shared" si="26"/>
        <v>#DIV/0!</v>
      </c>
      <c r="O43" s="415" t="e">
        <f t="shared" si="26"/>
        <v>#DIV/0!</v>
      </c>
      <c r="P43" s="415" t="e">
        <f t="shared" si="26"/>
        <v>#DIV/0!</v>
      </c>
    </row>
    <row r="44" spans="1:27" ht="15.75" x14ac:dyDescent="0.25">
      <c r="A44" s="408" t="s">
        <v>41</v>
      </c>
      <c r="B44" s="401">
        <f t="shared" si="20"/>
        <v>502</v>
      </c>
      <c r="C44" s="412">
        <v>377</v>
      </c>
      <c r="D44" s="403">
        <v>904</v>
      </c>
      <c r="E44" s="403">
        <v>470</v>
      </c>
      <c r="F44" s="413">
        <v>217</v>
      </c>
      <c r="G44" s="419">
        <v>542</v>
      </c>
      <c r="H44" s="417"/>
      <c r="I44" s="417"/>
      <c r="J44" s="417"/>
      <c r="K44" s="417"/>
      <c r="L44" s="417"/>
      <c r="M44" s="417"/>
      <c r="N44" s="417"/>
      <c r="O44" s="417"/>
      <c r="P44" s="417"/>
    </row>
    <row r="45" spans="1:27" ht="15.75" x14ac:dyDescent="0.25">
      <c r="A45" s="408" t="s">
        <v>44</v>
      </c>
      <c r="B45" s="401">
        <f t="shared" si="20"/>
        <v>797</v>
      </c>
      <c r="C45" s="412">
        <v>814</v>
      </c>
      <c r="D45" s="413">
        <v>810</v>
      </c>
      <c r="E45" s="413">
        <v>805</v>
      </c>
      <c r="F45" s="413">
        <v>801</v>
      </c>
      <c r="G45" s="419">
        <v>755</v>
      </c>
      <c r="H45" s="417"/>
      <c r="I45" s="417"/>
      <c r="J45" s="417"/>
      <c r="K45" s="417"/>
      <c r="L45" s="417"/>
      <c r="M45" s="417"/>
      <c r="N45" s="417"/>
      <c r="O45" s="417"/>
      <c r="P45" s="417"/>
    </row>
    <row r="46" spans="1:27" ht="12.75" x14ac:dyDescent="0.2">
      <c r="H46" s="214"/>
    </row>
    <row r="47" spans="1:27" ht="12.75" x14ac:dyDescent="0.2">
      <c r="H47" s="214"/>
    </row>
    <row r="48" spans="1:27" ht="12.75" x14ac:dyDescent="0.2">
      <c r="H48" s="214"/>
    </row>
    <row r="49" spans="1:15" ht="43.5" customHeight="1" x14ac:dyDescent="0.2">
      <c r="A49" s="501" t="s">
        <v>339</v>
      </c>
      <c r="B49" s="477"/>
      <c r="C49" s="477"/>
      <c r="D49" s="477"/>
      <c r="E49" s="477"/>
      <c r="H49" s="214"/>
    </row>
    <row r="50" spans="1:15" x14ac:dyDescent="0.2">
      <c r="A50" s="427"/>
      <c r="B50" s="427"/>
      <c r="C50" s="427"/>
      <c r="D50" s="427"/>
      <c r="E50" s="427"/>
      <c r="F50" s="427"/>
      <c r="G50" s="427"/>
      <c r="H50" s="428"/>
      <c r="I50" s="427"/>
      <c r="J50" s="427"/>
      <c r="K50" s="427"/>
      <c r="L50" s="427"/>
      <c r="M50" s="427"/>
      <c r="N50" s="427"/>
      <c r="O50" s="427"/>
    </row>
    <row r="51" spans="1:15" ht="15.75" x14ac:dyDescent="0.25">
      <c r="A51" s="429" t="s">
        <v>340</v>
      </c>
      <c r="B51" s="430"/>
      <c r="C51" s="505" t="s">
        <v>313</v>
      </c>
      <c r="D51" s="506" t="s">
        <v>341</v>
      </c>
      <c r="E51" s="477"/>
      <c r="F51" s="477"/>
      <c r="G51" s="431"/>
      <c r="H51" s="431"/>
      <c r="I51" s="431"/>
      <c r="J51" s="431"/>
      <c r="K51" s="431"/>
      <c r="L51" s="431"/>
      <c r="M51" s="431"/>
      <c r="N51" s="431"/>
      <c r="O51" s="427"/>
    </row>
    <row r="52" spans="1:15" ht="15.75" x14ac:dyDescent="0.25">
      <c r="A52" s="432">
        <v>30</v>
      </c>
      <c r="B52" s="431"/>
      <c r="C52" s="477"/>
      <c r="D52" s="477"/>
      <c r="E52" s="477"/>
      <c r="F52" s="477"/>
      <c r="G52" s="431"/>
      <c r="H52" s="431"/>
      <c r="I52" s="431"/>
      <c r="J52" s="431"/>
      <c r="K52" s="431"/>
      <c r="L52" s="431"/>
      <c r="M52" s="431"/>
      <c r="N52" s="431"/>
      <c r="O52" s="427"/>
    </row>
    <row r="53" spans="1:15" ht="15.75" x14ac:dyDescent="0.25">
      <c r="A53" s="431"/>
      <c r="B53" s="431"/>
      <c r="C53" s="431"/>
      <c r="D53" s="431"/>
      <c r="E53" s="431"/>
      <c r="F53" s="431"/>
      <c r="G53" s="431"/>
      <c r="H53" s="431"/>
      <c r="I53" s="431"/>
      <c r="J53" s="431"/>
      <c r="K53" s="431"/>
      <c r="L53" s="431"/>
      <c r="M53" s="431"/>
      <c r="N53" s="431"/>
      <c r="O53" s="427"/>
    </row>
    <row r="54" spans="1:15" ht="38.25" x14ac:dyDescent="0.2">
      <c r="A54" s="433"/>
      <c r="B54" s="434" t="s">
        <v>342</v>
      </c>
      <c r="C54" s="387" t="s">
        <v>316</v>
      </c>
      <c r="D54" s="387" t="s">
        <v>317</v>
      </c>
      <c r="E54" s="387" t="s">
        <v>318</v>
      </c>
      <c r="F54" s="387" t="s">
        <v>343</v>
      </c>
      <c r="G54" s="387" t="s">
        <v>344</v>
      </c>
      <c r="H54" s="387" t="s">
        <v>345</v>
      </c>
      <c r="I54" s="387" t="s">
        <v>346</v>
      </c>
      <c r="J54" s="387" t="s">
        <v>347</v>
      </c>
      <c r="K54" s="387" t="s">
        <v>348</v>
      </c>
      <c r="L54" s="387" t="s">
        <v>349</v>
      </c>
      <c r="M54" s="387" t="s">
        <v>326</v>
      </c>
      <c r="N54" s="387" t="s">
        <v>327</v>
      </c>
      <c r="O54" s="435"/>
    </row>
    <row r="55" spans="1:15" ht="15.75" x14ac:dyDescent="0.25">
      <c r="A55" s="436" t="s">
        <v>211</v>
      </c>
      <c r="B55" s="409" t="e">
        <f t="shared" ref="B55:B57" si="27">AVERAGE(C55:N55)</f>
        <v>#DIV/0!</v>
      </c>
      <c r="C55" s="437" t="s">
        <v>431</v>
      </c>
      <c r="D55" s="437" t="s">
        <v>431</v>
      </c>
      <c r="E55" s="437" t="s">
        <v>431</v>
      </c>
      <c r="F55" s="437" t="s">
        <v>431</v>
      </c>
      <c r="G55" s="437" t="s">
        <v>431</v>
      </c>
      <c r="H55" s="437" t="s">
        <v>431</v>
      </c>
      <c r="I55" s="437" t="s">
        <v>431</v>
      </c>
      <c r="J55" s="437" t="s">
        <v>431</v>
      </c>
      <c r="K55" s="437" t="s">
        <v>431</v>
      </c>
      <c r="L55" s="437" t="s">
        <v>431</v>
      </c>
      <c r="M55" s="437" t="s">
        <v>431</v>
      </c>
      <c r="N55" s="437" t="s">
        <v>431</v>
      </c>
      <c r="O55" s="438"/>
    </row>
    <row r="56" spans="1:15" ht="15.75" x14ac:dyDescent="0.25">
      <c r="A56" s="436" t="s">
        <v>223</v>
      </c>
      <c r="B56" s="409" t="e">
        <f t="shared" si="27"/>
        <v>#DIV/0!</v>
      </c>
      <c r="C56" s="439" t="s">
        <v>431</v>
      </c>
      <c r="D56" s="439" t="s">
        <v>431</v>
      </c>
      <c r="E56" s="439" t="s">
        <v>431</v>
      </c>
      <c r="F56" s="439" t="s">
        <v>431</v>
      </c>
      <c r="G56" s="439" t="s">
        <v>431</v>
      </c>
      <c r="H56" s="439" t="s">
        <v>431</v>
      </c>
      <c r="I56" s="439" t="s">
        <v>431</v>
      </c>
      <c r="J56" s="439" t="s">
        <v>431</v>
      </c>
      <c r="K56" s="439" t="s">
        <v>431</v>
      </c>
      <c r="L56" s="439" t="s">
        <v>431</v>
      </c>
      <c r="M56" s="439" t="s">
        <v>431</v>
      </c>
      <c r="N56" s="439" t="s">
        <v>431</v>
      </c>
      <c r="O56" s="438"/>
    </row>
    <row r="57" spans="1:15" ht="15.75" x14ac:dyDescent="0.25">
      <c r="A57" s="440" t="s">
        <v>224</v>
      </c>
      <c r="B57" s="409" t="e">
        <f t="shared" si="27"/>
        <v>#DIV/0!</v>
      </c>
      <c r="C57" s="437" t="s">
        <v>431</v>
      </c>
      <c r="D57" s="437" t="s">
        <v>431</v>
      </c>
      <c r="E57" s="437" t="s">
        <v>431</v>
      </c>
      <c r="F57" s="437" t="s">
        <v>431</v>
      </c>
      <c r="G57" s="437" t="s">
        <v>431</v>
      </c>
      <c r="H57" s="437" t="s">
        <v>431</v>
      </c>
      <c r="I57" s="437" t="s">
        <v>431</v>
      </c>
      <c r="J57" s="437" t="s">
        <v>431</v>
      </c>
      <c r="K57" s="437" t="s">
        <v>431</v>
      </c>
      <c r="L57" s="437" t="s">
        <v>431</v>
      </c>
      <c r="M57" s="437" t="s">
        <v>431</v>
      </c>
      <c r="N57" s="437" t="s">
        <v>431</v>
      </c>
      <c r="O57" s="438"/>
    </row>
    <row r="58" spans="1:15" ht="15.75" x14ac:dyDescent="0.25">
      <c r="A58" s="441"/>
      <c r="B58" s="442"/>
      <c r="C58" s="442"/>
      <c r="D58" s="431"/>
      <c r="E58" s="431"/>
      <c r="F58" s="431"/>
      <c r="G58" s="431"/>
      <c r="H58" s="431"/>
      <c r="I58" s="431"/>
      <c r="J58" s="431"/>
      <c r="K58" s="431"/>
      <c r="L58" s="431"/>
      <c r="M58" s="431"/>
      <c r="N58" s="431"/>
      <c r="O58" s="427"/>
    </row>
    <row r="59" spans="1:15" ht="15.75" x14ac:dyDescent="0.25">
      <c r="A59" s="443"/>
      <c r="B59" s="444"/>
      <c r="C59" s="444"/>
      <c r="D59" s="431"/>
      <c r="E59" s="431"/>
      <c r="F59" s="431"/>
      <c r="G59" s="431"/>
      <c r="H59" s="431"/>
      <c r="I59" s="431"/>
      <c r="J59" s="431"/>
      <c r="K59" s="431"/>
      <c r="L59" s="431"/>
      <c r="M59" s="431"/>
      <c r="N59" s="431"/>
      <c r="O59" s="427"/>
    </row>
    <row r="60" spans="1:15" ht="25.5" x14ac:dyDescent="0.2">
      <c r="A60" s="433"/>
      <c r="B60" s="434" t="s">
        <v>350</v>
      </c>
      <c r="C60" s="387" t="s">
        <v>316</v>
      </c>
      <c r="D60" s="387" t="s">
        <v>317</v>
      </c>
      <c r="E60" s="387" t="s">
        <v>318</v>
      </c>
      <c r="F60" s="387" t="s">
        <v>343</v>
      </c>
      <c r="G60" s="387" t="s">
        <v>344</v>
      </c>
      <c r="H60" s="387" t="s">
        <v>345</v>
      </c>
      <c r="I60" s="387" t="s">
        <v>346</v>
      </c>
      <c r="J60" s="387" t="s">
        <v>347</v>
      </c>
      <c r="K60" s="387" t="s">
        <v>348</v>
      </c>
      <c r="L60" s="387" t="s">
        <v>349</v>
      </c>
      <c r="M60" s="387" t="s">
        <v>326</v>
      </c>
      <c r="N60" s="387" t="s">
        <v>327</v>
      </c>
      <c r="O60" s="427"/>
    </row>
    <row r="61" spans="1:15" ht="15.75" x14ac:dyDescent="0.25">
      <c r="A61" s="436" t="s">
        <v>211</v>
      </c>
      <c r="B61" s="409" t="e">
        <f t="shared" ref="B61:B63" si="28">AVERAGE(C61:N61)</f>
        <v>#DIV/0!</v>
      </c>
      <c r="C61" s="437" t="s">
        <v>431</v>
      </c>
      <c r="D61" s="437" t="s">
        <v>431</v>
      </c>
      <c r="E61" s="437" t="s">
        <v>431</v>
      </c>
      <c r="F61" s="437" t="s">
        <v>431</v>
      </c>
      <c r="G61" s="437" t="s">
        <v>431</v>
      </c>
      <c r="H61" s="437" t="s">
        <v>431</v>
      </c>
      <c r="I61" s="437" t="s">
        <v>431</v>
      </c>
      <c r="J61" s="437" t="s">
        <v>431</v>
      </c>
      <c r="K61" s="437" t="s">
        <v>431</v>
      </c>
      <c r="L61" s="437" t="s">
        <v>431</v>
      </c>
      <c r="M61" s="437" t="s">
        <v>431</v>
      </c>
      <c r="N61" s="437" t="s">
        <v>431</v>
      </c>
      <c r="O61" s="427"/>
    </row>
    <row r="62" spans="1:15" ht="15.75" x14ac:dyDescent="0.25">
      <c r="A62" s="436" t="s">
        <v>223</v>
      </c>
      <c r="B62" s="409" t="e">
        <f t="shared" si="28"/>
        <v>#DIV/0!</v>
      </c>
      <c r="C62" s="439" t="s">
        <v>431</v>
      </c>
      <c r="D62" s="439" t="s">
        <v>431</v>
      </c>
      <c r="E62" s="439" t="s">
        <v>431</v>
      </c>
      <c r="F62" s="439" t="s">
        <v>431</v>
      </c>
      <c r="G62" s="439" t="s">
        <v>431</v>
      </c>
      <c r="H62" s="439" t="s">
        <v>431</v>
      </c>
      <c r="I62" s="439" t="s">
        <v>431</v>
      </c>
      <c r="J62" s="439" t="s">
        <v>431</v>
      </c>
      <c r="K62" s="439" t="s">
        <v>431</v>
      </c>
      <c r="L62" s="439" t="s">
        <v>431</v>
      </c>
      <c r="M62" s="439" t="s">
        <v>431</v>
      </c>
      <c r="N62" s="439" t="s">
        <v>431</v>
      </c>
      <c r="O62" s="427"/>
    </row>
    <row r="63" spans="1:15" ht="15.75" x14ac:dyDescent="0.25">
      <c r="A63" s="440" t="s">
        <v>224</v>
      </c>
      <c r="B63" s="409" t="e">
        <f t="shared" si="28"/>
        <v>#DIV/0!</v>
      </c>
      <c r="C63" s="437" t="s">
        <v>431</v>
      </c>
      <c r="D63" s="437" t="s">
        <v>431</v>
      </c>
      <c r="E63" s="437" t="s">
        <v>431</v>
      </c>
      <c r="F63" s="437" t="s">
        <v>431</v>
      </c>
      <c r="G63" s="437" t="s">
        <v>431</v>
      </c>
      <c r="H63" s="437" t="s">
        <v>431</v>
      </c>
      <c r="I63" s="437" t="s">
        <v>431</v>
      </c>
      <c r="J63" s="437" t="s">
        <v>431</v>
      </c>
      <c r="K63" s="437" t="s">
        <v>431</v>
      </c>
      <c r="L63" s="437" t="s">
        <v>431</v>
      </c>
      <c r="M63" s="437" t="s">
        <v>431</v>
      </c>
      <c r="N63" s="437" t="s">
        <v>431</v>
      </c>
      <c r="O63" s="427"/>
    </row>
    <row r="64" spans="1:15" ht="15.75" x14ac:dyDescent="0.25">
      <c r="A64" s="443"/>
      <c r="B64" s="444"/>
      <c r="C64" s="444"/>
      <c r="D64" s="431"/>
      <c r="E64" s="431"/>
      <c r="F64" s="431"/>
      <c r="G64" s="431"/>
      <c r="H64" s="431"/>
      <c r="I64" s="431"/>
      <c r="J64" s="431"/>
      <c r="K64" s="431"/>
      <c r="L64" s="431"/>
      <c r="M64" s="431"/>
      <c r="N64" s="431"/>
      <c r="O64" s="427"/>
    </row>
    <row r="65" spans="1:15" ht="15.75" x14ac:dyDescent="0.25">
      <c r="A65" s="443"/>
      <c r="B65" s="444"/>
      <c r="C65" s="444" t="e">
        <f t="shared" ref="C65:N65" si="29">-30/(C55/C61)</f>
        <v>#VALUE!</v>
      </c>
      <c r="D65" s="444" t="e">
        <f t="shared" si="29"/>
        <v>#VALUE!</v>
      </c>
      <c r="E65" s="444" t="e">
        <f t="shared" si="29"/>
        <v>#VALUE!</v>
      </c>
      <c r="F65" s="444" t="e">
        <f t="shared" si="29"/>
        <v>#VALUE!</v>
      </c>
      <c r="G65" s="444" t="e">
        <f t="shared" si="29"/>
        <v>#VALUE!</v>
      </c>
      <c r="H65" s="444" t="e">
        <f t="shared" si="29"/>
        <v>#VALUE!</v>
      </c>
      <c r="I65" s="444" t="e">
        <f t="shared" si="29"/>
        <v>#VALUE!</v>
      </c>
      <c r="J65" s="444" t="e">
        <f t="shared" si="29"/>
        <v>#VALUE!</v>
      </c>
      <c r="K65" s="444" t="e">
        <f t="shared" si="29"/>
        <v>#VALUE!</v>
      </c>
      <c r="L65" s="444" t="e">
        <f t="shared" si="29"/>
        <v>#VALUE!</v>
      </c>
      <c r="M65" s="444" t="e">
        <f t="shared" si="29"/>
        <v>#VALUE!</v>
      </c>
      <c r="N65" s="444" t="e">
        <f t="shared" si="29"/>
        <v>#VALUE!</v>
      </c>
      <c r="O65" s="427"/>
    </row>
    <row r="66" spans="1:15" ht="15.75" x14ac:dyDescent="0.25">
      <c r="A66" s="443"/>
      <c r="B66" s="444"/>
      <c r="C66" s="444" t="e">
        <f t="shared" ref="C66:N66" si="30">-30/(C56/C62)</f>
        <v>#VALUE!</v>
      </c>
      <c r="D66" s="444" t="e">
        <f t="shared" si="30"/>
        <v>#VALUE!</v>
      </c>
      <c r="E66" s="444" t="e">
        <f t="shared" si="30"/>
        <v>#VALUE!</v>
      </c>
      <c r="F66" s="444" t="e">
        <f t="shared" si="30"/>
        <v>#VALUE!</v>
      </c>
      <c r="G66" s="444" t="e">
        <f t="shared" si="30"/>
        <v>#VALUE!</v>
      </c>
      <c r="H66" s="444" t="e">
        <f t="shared" si="30"/>
        <v>#VALUE!</v>
      </c>
      <c r="I66" s="444" t="e">
        <f t="shared" si="30"/>
        <v>#VALUE!</v>
      </c>
      <c r="J66" s="444" t="e">
        <f t="shared" si="30"/>
        <v>#VALUE!</v>
      </c>
      <c r="K66" s="444" t="e">
        <f t="shared" si="30"/>
        <v>#VALUE!</v>
      </c>
      <c r="L66" s="444" t="e">
        <f t="shared" si="30"/>
        <v>#VALUE!</v>
      </c>
      <c r="M66" s="444" t="e">
        <f t="shared" si="30"/>
        <v>#VALUE!</v>
      </c>
      <c r="N66" s="444" t="e">
        <f t="shared" si="30"/>
        <v>#VALUE!</v>
      </c>
      <c r="O66" s="427"/>
    </row>
    <row r="67" spans="1:15" ht="15.75" x14ac:dyDescent="0.25">
      <c r="A67" s="443"/>
      <c r="B67" s="444"/>
      <c r="C67" s="444" t="e">
        <f t="shared" ref="C67:N67" si="31">-30/(C57/C63)</f>
        <v>#VALUE!</v>
      </c>
      <c r="D67" s="444" t="e">
        <f t="shared" si="31"/>
        <v>#VALUE!</v>
      </c>
      <c r="E67" s="444" t="e">
        <f t="shared" si="31"/>
        <v>#VALUE!</v>
      </c>
      <c r="F67" s="444" t="e">
        <f t="shared" si="31"/>
        <v>#VALUE!</v>
      </c>
      <c r="G67" s="444" t="e">
        <f t="shared" si="31"/>
        <v>#VALUE!</v>
      </c>
      <c r="H67" s="444" t="e">
        <f t="shared" si="31"/>
        <v>#VALUE!</v>
      </c>
      <c r="I67" s="444" t="e">
        <f t="shared" si="31"/>
        <v>#VALUE!</v>
      </c>
      <c r="J67" s="444" t="e">
        <f t="shared" si="31"/>
        <v>#VALUE!</v>
      </c>
      <c r="K67" s="444" t="e">
        <f t="shared" si="31"/>
        <v>#VALUE!</v>
      </c>
      <c r="L67" s="444" t="e">
        <f t="shared" si="31"/>
        <v>#VALUE!</v>
      </c>
      <c r="M67" s="444" t="e">
        <f t="shared" si="31"/>
        <v>#VALUE!</v>
      </c>
      <c r="N67" s="444" t="e">
        <f t="shared" si="31"/>
        <v>#VALUE!</v>
      </c>
      <c r="O67" s="427"/>
    </row>
    <row r="68" spans="1:15" ht="15.75" x14ac:dyDescent="0.25">
      <c r="A68" s="443"/>
      <c r="B68" s="444"/>
      <c r="C68" s="444"/>
      <c r="D68" s="431"/>
      <c r="E68" s="431"/>
      <c r="F68" s="431"/>
      <c r="G68" s="430"/>
      <c r="H68" s="430"/>
      <c r="I68" s="430"/>
      <c r="J68" s="430"/>
      <c r="K68" s="430"/>
      <c r="L68" s="431"/>
      <c r="M68" s="431"/>
      <c r="N68" s="431"/>
      <c r="O68" s="427"/>
    </row>
    <row r="69" spans="1:15" ht="15.75" x14ac:dyDescent="0.25">
      <c r="A69" s="443"/>
      <c r="B69" s="444"/>
      <c r="C69" s="444"/>
      <c r="D69" s="431"/>
      <c r="E69" s="431"/>
      <c r="F69" s="431"/>
      <c r="G69" s="430"/>
      <c r="H69" s="430"/>
      <c r="I69" s="430"/>
      <c r="J69" s="430"/>
      <c r="K69" s="430"/>
      <c r="L69" s="431"/>
      <c r="M69" s="431"/>
      <c r="N69" s="431"/>
      <c r="O69" s="427"/>
    </row>
    <row r="70" spans="1:15" ht="15.75" x14ac:dyDescent="0.25">
      <c r="A70" s="443"/>
      <c r="B70" s="444"/>
      <c r="C70" s="444"/>
      <c r="D70" s="431"/>
      <c r="E70" s="431"/>
      <c r="F70" s="431"/>
      <c r="G70" s="430"/>
      <c r="H70" s="430"/>
      <c r="I70" s="430"/>
      <c r="J70" s="430"/>
      <c r="K70" s="430"/>
      <c r="L70" s="431"/>
      <c r="M70" s="431"/>
      <c r="N70" s="431"/>
      <c r="O70" s="427"/>
    </row>
    <row r="71" spans="1:15" ht="15.75" x14ac:dyDescent="0.25">
      <c r="A71" s="443"/>
      <c r="B71" s="444"/>
      <c r="C71" s="444"/>
      <c r="D71" s="431"/>
      <c r="E71" s="431"/>
      <c r="F71" s="431"/>
      <c r="G71" s="430"/>
      <c r="H71" s="430"/>
      <c r="I71" s="430"/>
      <c r="J71" s="430"/>
      <c r="K71" s="430"/>
      <c r="L71" s="431"/>
      <c r="M71" s="431"/>
      <c r="N71" s="431"/>
      <c r="O71" s="427"/>
    </row>
    <row r="72" spans="1:15" ht="15.75" x14ac:dyDescent="0.25">
      <c r="A72" s="443"/>
      <c r="B72" s="444"/>
      <c r="C72" s="444"/>
      <c r="D72" s="431"/>
      <c r="E72" s="431"/>
      <c r="F72" s="431"/>
      <c r="G72" s="500"/>
      <c r="H72" s="477"/>
      <c r="I72" s="477"/>
      <c r="J72" s="477"/>
      <c r="K72" s="477"/>
      <c r="L72" s="431"/>
      <c r="M72" s="431"/>
      <c r="N72" s="431"/>
      <c r="O72" s="427"/>
    </row>
    <row r="73" spans="1:15" ht="15.75" x14ac:dyDescent="0.25">
      <c r="A73" s="445"/>
      <c r="B73" s="444"/>
      <c r="C73" s="444"/>
      <c r="D73" s="431"/>
      <c r="E73" s="431"/>
      <c r="F73" s="431"/>
      <c r="G73" s="431"/>
      <c r="H73" s="431"/>
      <c r="I73" s="431"/>
      <c r="J73" s="431"/>
      <c r="K73" s="431"/>
      <c r="L73" s="431"/>
      <c r="M73" s="431"/>
      <c r="N73" s="431"/>
      <c r="O73" s="427"/>
    </row>
    <row r="74" spans="1:15" ht="15.75" x14ac:dyDescent="0.25">
      <c r="A74" s="445"/>
      <c r="B74" s="444"/>
      <c r="C74" s="444"/>
      <c r="D74" s="431"/>
      <c r="E74" s="431"/>
      <c r="F74" s="431"/>
      <c r="G74" s="431"/>
      <c r="H74" s="431"/>
      <c r="I74" s="431"/>
      <c r="J74" s="431"/>
      <c r="K74" s="431"/>
      <c r="L74" s="431"/>
      <c r="M74" s="431"/>
      <c r="N74" s="431"/>
      <c r="O74" s="427"/>
    </row>
    <row r="75" spans="1:15" ht="15.75" x14ac:dyDescent="0.25">
      <c r="A75" s="441"/>
      <c r="B75" s="442"/>
      <c r="C75" s="442"/>
      <c r="D75" s="431"/>
      <c r="E75" s="431"/>
      <c r="F75" s="431"/>
      <c r="G75" s="431"/>
      <c r="H75" s="431"/>
      <c r="I75" s="431"/>
      <c r="J75" s="431"/>
      <c r="K75" s="431"/>
      <c r="L75" s="431"/>
      <c r="M75" s="431"/>
      <c r="N75" s="431"/>
      <c r="O75" s="427"/>
    </row>
    <row r="76" spans="1:15" ht="15.75" x14ac:dyDescent="0.25">
      <c r="A76" s="441"/>
      <c r="B76" s="446"/>
      <c r="C76" s="446"/>
      <c r="D76" s="431"/>
      <c r="E76" s="431"/>
      <c r="F76" s="431"/>
      <c r="G76" s="431"/>
      <c r="H76" s="431"/>
      <c r="I76" s="431"/>
      <c r="J76" s="431"/>
      <c r="K76" s="431"/>
      <c r="L76" s="431"/>
      <c r="M76" s="431"/>
      <c r="N76" s="431"/>
      <c r="O76" s="427"/>
    </row>
    <row r="77" spans="1:15" ht="15.75" x14ac:dyDescent="0.25">
      <c r="A77" s="441"/>
      <c r="B77" s="446"/>
      <c r="C77" s="447"/>
      <c r="D77" s="431"/>
      <c r="E77" s="431"/>
      <c r="F77" s="431"/>
      <c r="G77" s="431"/>
      <c r="H77" s="431"/>
      <c r="I77" s="431"/>
      <c r="J77" s="431"/>
      <c r="K77" s="431"/>
      <c r="L77" s="431"/>
      <c r="M77" s="431"/>
      <c r="N77" s="431"/>
      <c r="O77" s="427"/>
    </row>
    <row r="78" spans="1:15" ht="15.75" x14ac:dyDescent="0.25">
      <c r="A78" s="441"/>
      <c r="B78" s="446"/>
      <c r="C78" s="446"/>
      <c r="D78" s="431"/>
      <c r="E78" s="431"/>
      <c r="F78" s="431"/>
      <c r="G78" s="431"/>
      <c r="H78" s="431"/>
      <c r="I78" s="431"/>
      <c r="J78" s="431"/>
      <c r="K78" s="431"/>
      <c r="L78" s="431"/>
      <c r="M78" s="431"/>
      <c r="N78" s="431"/>
      <c r="O78" s="427"/>
    </row>
    <row r="79" spans="1:15" ht="15.75" x14ac:dyDescent="0.25">
      <c r="A79" s="431"/>
      <c r="B79" s="431"/>
      <c r="C79" s="431"/>
      <c r="D79" s="431"/>
      <c r="E79" s="431"/>
      <c r="F79" s="431"/>
      <c r="G79" s="431"/>
      <c r="H79" s="431"/>
      <c r="I79" s="431"/>
      <c r="J79" s="431"/>
      <c r="K79" s="431"/>
      <c r="L79" s="431"/>
      <c r="M79" s="431"/>
      <c r="N79" s="431"/>
      <c r="O79" s="427"/>
    </row>
    <row r="80" spans="1:15" ht="51" customHeight="1" x14ac:dyDescent="0.25">
      <c r="A80" s="501" t="s">
        <v>351</v>
      </c>
      <c r="B80" s="477"/>
      <c r="C80" s="477"/>
      <c r="D80" s="477"/>
      <c r="E80" s="477"/>
      <c r="F80" s="431"/>
      <c r="G80" s="431"/>
      <c r="H80" s="431"/>
      <c r="I80" s="431"/>
      <c r="J80" s="431"/>
      <c r="K80" s="431"/>
      <c r="L80" s="431"/>
      <c r="M80" s="431"/>
      <c r="N80" s="431"/>
      <c r="O80" s="427"/>
    </row>
    <row r="81" spans="1:15" ht="15.75" x14ac:dyDescent="0.25">
      <c r="A81" s="431"/>
      <c r="B81" s="431"/>
      <c r="C81" s="431"/>
      <c r="D81" s="431"/>
      <c r="E81" s="431"/>
      <c r="F81" s="431"/>
      <c r="G81" s="431"/>
      <c r="H81" s="431"/>
      <c r="I81" s="431"/>
      <c r="J81" s="431"/>
      <c r="K81" s="431"/>
      <c r="L81" s="431"/>
      <c r="M81" s="431"/>
      <c r="N81" s="431"/>
      <c r="O81" s="427"/>
    </row>
    <row r="82" spans="1:15" ht="15.75" x14ac:dyDescent="0.25">
      <c r="A82" s="448" t="s">
        <v>352</v>
      </c>
      <c r="B82" s="430"/>
      <c r="C82" s="430" t="s">
        <v>353</v>
      </c>
      <c r="D82" s="430" t="s">
        <v>354</v>
      </c>
      <c r="E82" s="449"/>
      <c r="F82" s="431"/>
      <c r="G82" s="431"/>
      <c r="H82" s="431"/>
      <c r="I82" s="431"/>
      <c r="J82" s="431"/>
      <c r="K82" s="431"/>
      <c r="L82" s="431"/>
      <c r="M82" s="431"/>
      <c r="N82" s="431"/>
      <c r="O82" s="427"/>
    </row>
    <row r="83" spans="1:15" ht="15.75" x14ac:dyDescent="0.25">
      <c r="A83" s="450">
        <v>30</v>
      </c>
      <c r="B83" s="451"/>
      <c r="C83" s="451" t="e">
        <f>AVERAGE(O55:O57)</f>
        <v>#DIV/0!</v>
      </c>
      <c r="D83" s="450">
        <v>472500</v>
      </c>
      <c r="E83" s="431"/>
      <c r="F83" s="431"/>
      <c r="G83" s="431"/>
      <c r="H83" s="431"/>
      <c r="I83" s="431"/>
      <c r="J83" s="431"/>
      <c r="K83" s="431"/>
      <c r="L83" s="431"/>
      <c r="M83" s="431"/>
      <c r="N83" s="431"/>
      <c r="O83" s="427"/>
    </row>
    <row r="84" spans="1:15" ht="15.75" x14ac:dyDescent="0.25">
      <c r="A84" s="431"/>
      <c r="B84" s="431"/>
      <c r="C84" s="431"/>
      <c r="D84" s="431"/>
      <c r="E84" s="431"/>
      <c r="F84" s="431"/>
      <c r="G84" s="431"/>
      <c r="H84" s="431"/>
      <c r="I84" s="431"/>
      <c r="J84" s="431"/>
      <c r="K84" s="431"/>
      <c r="L84" s="431"/>
      <c r="M84" s="431"/>
      <c r="N84" s="431"/>
      <c r="O84" s="427"/>
    </row>
    <row r="85" spans="1:15" ht="15.75" x14ac:dyDescent="0.25">
      <c r="A85" s="441" t="s">
        <v>355</v>
      </c>
      <c r="B85" s="442"/>
      <c r="C85" s="442" t="e">
        <f>A83/(C83/D83)</f>
        <v>#DIV/0!</v>
      </c>
      <c r="D85" s="431"/>
      <c r="E85" s="431"/>
      <c r="F85" s="431"/>
      <c r="G85" s="431"/>
      <c r="H85" s="431"/>
      <c r="I85" s="431"/>
      <c r="J85" s="431"/>
      <c r="K85" s="431"/>
      <c r="L85" s="431"/>
      <c r="M85" s="431"/>
      <c r="N85" s="431"/>
      <c r="O85" s="427"/>
    </row>
    <row r="86" spans="1:15" ht="15.75" x14ac:dyDescent="0.25">
      <c r="A86" s="431"/>
      <c r="B86" s="431"/>
      <c r="C86" s="431"/>
      <c r="D86" s="431"/>
      <c r="E86" s="431"/>
      <c r="F86" s="431"/>
      <c r="G86" s="431"/>
      <c r="H86" s="431"/>
      <c r="I86" s="431"/>
      <c r="J86" s="431"/>
      <c r="K86" s="431"/>
      <c r="L86" s="431"/>
      <c r="M86" s="431"/>
      <c r="N86" s="431"/>
      <c r="O86" s="427"/>
    </row>
    <row r="87" spans="1:15" ht="48" customHeight="1" x14ac:dyDescent="0.25">
      <c r="A87" s="501" t="s">
        <v>356</v>
      </c>
      <c r="B87" s="477"/>
      <c r="C87" s="477"/>
      <c r="D87" s="477"/>
      <c r="E87" s="477"/>
      <c r="F87" s="431"/>
      <c r="G87" s="431"/>
      <c r="H87" s="431"/>
      <c r="I87" s="431"/>
      <c r="J87" s="431"/>
      <c r="K87" s="431"/>
      <c r="L87" s="431"/>
      <c r="M87" s="431"/>
      <c r="N87" s="431"/>
      <c r="O87" s="427"/>
    </row>
    <row r="88" spans="1:15" ht="15.75" x14ac:dyDescent="0.25">
      <c r="A88" s="431"/>
      <c r="B88" s="431"/>
      <c r="C88" s="431"/>
      <c r="D88" s="431"/>
      <c r="E88" s="431"/>
      <c r="F88" s="431"/>
      <c r="G88" s="431"/>
      <c r="H88" s="431"/>
      <c r="I88" s="431"/>
      <c r="J88" s="431"/>
      <c r="K88" s="431"/>
      <c r="L88" s="431"/>
      <c r="M88" s="431"/>
      <c r="N88" s="431"/>
      <c r="O88" s="427"/>
    </row>
    <row r="89" spans="1:15" ht="15.75" x14ac:dyDescent="0.25">
      <c r="A89" s="448" t="s">
        <v>352</v>
      </c>
      <c r="B89" s="430"/>
      <c r="C89" s="430" t="s">
        <v>357</v>
      </c>
      <c r="D89" s="430" t="s">
        <v>358</v>
      </c>
      <c r="E89" s="449"/>
      <c r="F89" s="431"/>
      <c r="G89" s="431"/>
      <c r="H89" s="431"/>
      <c r="I89" s="431"/>
      <c r="J89" s="431"/>
      <c r="K89" s="431"/>
      <c r="L89" s="431"/>
      <c r="M89" s="431"/>
      <c r="N89" s="431"/>
      <c r="O89" s="427"/>
    </row>
    <row r="90" spans="1:15" ht="15.75" x14ac:dyDescent="0.25">
      <c r="A90" s="450">
        <v>30</v>
      </c>
      <c r="B90" s="451"/>
      <c r="C90" s="451" t="e">
        <f>'[1]Финмодель без кредитов'!AN21/12</f>
        <v>#REF!</v>
      </c>
      <c r="D90" s="450">
        <v>40000</v>
      </c>
      <c r="E90" s="431"/>
      <c r="F90" s="431"/>
      <c r="G90" s="431"/>
      <c r="H90" s="431"/>
      <c r="I90" s="431"/>
      <c r="J90" s="431"/>
      <c r="K90" s="431"/>
      <c r="L90" s="431"/>
      <c r="M90" s="431"/>
      <c r="N90" s="431"/>
      <c r="O90" s="427"/>
    </row>
    <row r="91" spans="1:15" ht="15.75" x14ac:dyDescent="0.25">
      <c r="A91" s="431"/>
      <c r="B91" s="431"/>
      <c r="C91" s="431"/>
      <c r="D91" s="431"/>
      <c r="E91" s="431"/>
      <c r="F91" s="431"/>
      <c r="G91" s="431"/>
      <c r="H91" s="431"/>
      <c r="I91" s="431"/>
      <c r="J91" s="431"/>
      <c r="K91" s="431"/>
      <c r="L91" s="431"/>
      <c r="M91" s="431"/>
      <c r="N91" s="431"/>
      <c r="O91" s="427"/>
    </row>
    <row r="92" spans="1:15" ht="15.75" x14ac:dyDescent="0.25">
      <c r="A92" s="441" t="s">
        <v>355</v>
      </c>
      <c r="B92" s="442"/>
      <c r="C92" s="442" t="e">
        <f>A90/(C90/D90)</f>
        <v>#REF!</v>
      </c>
      <c r="D92" s="431"/>
      <c r="E92" s="431"/>
      <c r="F92" s="431"/>
      <c r="G92" s="431"/>
      <c r="H92" s="431"/>
      <c r="I92" s="431"/>
      <c r="J92" s="431"/>
      <c r="K92" s="431"/>
      <c r="L92" s="431"/>
      <c r="M92" s="431"/>
      <c r="N92" s="431"/>
      <c r="O92" s="427"/>
    </row>
    <row r="93" spans="1:15" ht="15.75" x14ac:dyDescent="0.25">
      <c r="A93" s="431"/>
      <c r="B93" s="431"/>
      <c r="C93" s="431"/>
      <c r="D93" s="431"/>
      <c r="E93" s="431"/>
      <c r="F93" s="431"/>
      <c r="G93" s="431"/>
      <c r="H93" s="431"/>
      <c r="I93" s="431"/>
      <c r="J93" s="431"/>
      <c r="K93" s="431"/>
      <c r="L93" s="431"/>
      <c r="M93" s="431"/>
      <c r="N93" s="431"/>
      <c r="O93" s="427"/>
    </row>
  </sheetData>
  <mergeCells count="10">
    <mergeCell ref="G72:K72"/>
    <mergeCell ref="A80:E80"/>
    <mergeCell ref="A87:E87"/>
    <mergeCell ref="A4:O4"/>
    <mergeCell ref="A13:N13"/>
    <mergeCell ref="A14:G14"/>
    <mergeCell ref="H14:P14"/>
    <mergeCell ref="A49:E49"/>
    <mergeCell ref="C51:C52"/>
    <mergeCell ref="D51:F52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6AA84F"/>
    <outlinePr summaryBelow="0" summaryRight="0"/>
  </sheetPr>
  <dimension ref="A1:H139"/>
  <sheetViews>
    <sheetView workbookViewId="0">
      <selection activeCell="K15" sqref="K15"/>
    </sheetView>
  </sheetViews>
  <sheetFormatPr defaultColWidth="12.5703125" defaultRowHeight="15" customHeight="1" x14ac:dyDescent="0.2"/>
  <cols>
    <col min="1" max="1" width="38.7109375" customWidth="1"/>
    <col min="2" max="2" width="18.28515625" customWidth="1"/>
    <col min="3" max="3" width="33.85546875" customWidth="1"/>
    <col min="4" max="5" width="18.28515625" customWidth="1"/>
    <col min="6" max="6" width="24.42578125" customWidth="1"/>
    <col min="7" max="8" width="18.28515625" customWidth="1"/>
  </cols>
  <sheetData>
    <row r="1" spans="1:8" ht="31.5" customHeight="1" x14ac:dyDescent="0.2">
      <c r="A1" s="510" t="s">
        <v>359</v>
      </c>
      <c r="B1" s="477"/>
      <c r="C1" s="477"/>
      <c r="D1" s="477"/>
      <c r="E1" s="477"/>
      <c r="F1" s="452"/>
      <c r="G1" s="452"/>
      <c r="H1" s="452"/>
    </row>
    <row r="2" spans="1:8" ht="31.5" customHeight="1" x14ac:dyDescent="0.2">
      <c r="A2" s="511"/>
      <c r="B2" s="477"/>
      <c r="C2" s="477"/>
      <c r="D2" s="477"/>
      <c r="E2" s="453"/>
      <c r="F2" s="454"/>
      <c r="G2" s="453"/>
      <c r="H2" s="453"/>
    </row>
    <row r="3" spans="1:8" ht="87.75" customHeight="1" x14ac:dyDescent="0.2">
      <c r="A3" s="511" t="s">
        <v>436</v>
      </c>
      <c r="B3" s="477"/>
      <c r="C3" s="477"/>
      <c r="D3" s="477"/>
      <c r="E3" s="477"/>
      <c r="F3" s="477"/>
      <c r="G3" s="477"/>
      <c r="H3" s="477"/>
    </row>
    <row r="4" spans="1:8" x14ac:dyDescent="0.2">
      <c r="A4" s="455"/>
      <c r="B4" s="455"/>
      <c r="C4" s="455"/>
      <c r="D4" s="455"/>
      <c r="E4" s="455"/>
      <c r="F4" s="455"/>
      <c r="G4" s="455"/>
      <c r="H4" s="455"/>
    </row>
    <row r="5" spans="1:8" ht="15.75" x14ac:dyDescent="0.25">
      <c r="A5" s="456" t="s">
        <v>360</v>
      </c>
      <c r="B5" s="457"/>
      <c r="C5" s="457"/>
      <c r="D5" s="457"/>
      <c r="E5" s="457"/>
      <c r="F5" s="457"/>
      <c r="G5" s="457"/>
      <c r="H5" s="457"/>
    </row>
    <row r="6" spans="1:8" x14ac:dyDescent="0.2">
      <c r="A6" s="512" t="s">
        <v>361</v>
      </c>
      <c r="B6" s="477"/>
      <c r="C6" s="477"/>
      <c r="D6" s="477"/>
      <c r="E6" s="477"/>
      <c r="F6" s="477"/>
      <c r="G6" s="513"/>
      <c r="H6" s="457"/>
    </row>
    <row r="7" spans="1:8" ht="15.75" x14ac:dyDescent="0.25">
      <c r="A7" s="514" t="s">
        <v>362</v>
      </c>
      <c r="B7" s="477"/>
      <c r="C7" s="477"/>
      <c r="D7" s="514" t="s">
        <v>363</v>
      </c>
      <c r="E7" s="477"/>
      <c r="F7" s="477"/>
      <c r="G7" s="477"/>
      <c r="H7" s="477"/>
    </row>
    <row r="8" spans="1:8" ht="98.25" customHeight="1" x14ac:dyDescent="0.2">
      <c r="A8" s="507" t="s">
        <v>364</v>
      </c>
      <c r="B8" s="508"/>
      <c r="C8" s="509"/>
      <c r="D8" s="507"/>
      <c r="E8" s="508"/>
      <c r="F8" s="508"/>
      <c r="G8" s="508"/>
      <c r="H8" s="509"/>
    </row>
    <row r="9" spans="1:8" x14ac:dyDescent="0.2">
      <c r="A9" s="507" t="s">
        <v>365</v>
      </c>
      <c r="B9" s="508"/>
      <c r="C9" s="509"/>
      <c r="D9" s="507"/>
      <c r="E9" s="508"/>
      <c r="F9" s="508"/>
      <c r="G9" s="508"/>
      <c r="H9" s="509"/>
    </row>
    <row r="10" spans="1:8" x14ac:dyDescent="0.2">
      <c r="A10" s="507"/>
      <c r="B10" s="508"/>
      <c r="C10" s="509"/>
      <c r="D10" s="515"/>
      <c r="E10" s="508"/>
      <c r="F10" s="508"/>
      <c r="G10" s="508"/>
      <c r="H10" s="509"/>
    </row>
    <row r="11" spans="1:8" x14ac:dyDescent="0.2">
      <c r="A11" s="507"/>
      <c r="B11" s="508"/>
      <c r="C11" s="509"/>
      <c r="D11" s="507"/>
      <c r="E11" s="508"/>
      <c r="F11" s="508"/>
      <c r="G11" s="508"/>
      <c r="H11" s="509"/>
    </row>
    <row r="12" spans="1:8" x14ac:dyDescent="0.2">
      <c r="A12" s="455"/>
      <c r="B12" s="455"/>
      <c r="C12" s="455"/>
      <c r="D12" s="455"/>
      <c r="E12" s="455"/>
      <c r="F12" s="455"/>
      <c r="G12" s="455"/>
      <c r="H12" s="455"/>
    </row>
    <row r="13" spans="1:8" ht="31.5" customHeight="1" x14ac:dyDescent="0.2">
      <c r="A13" s="516"/>
      <c r="B13" s="517"/>
      <c r="C13" s="517"/>
      <c r="D13" s="517"/>
      <c r="E13" s="517"/>
      <c r="F13" s="517"/>
      <c r="G13" s="517"/>
      <c r="H13" s="518"/>
    </row>
    <row r="14" spans="1:8" ht="26.25" customHeight="1" x14ac:dyDescent="0.2">
      <c r="A14" s="519" t="s">
        <v>31</v>
      </c>
      <c r="B14" s="477"/>
      <c r="C14" s="477"/>
      <c r="D14" s="477"/>
      <c r="E14" s="477"/>
      <c r="F14" s="477"/>
      <c r="G14" s="477"/>
      <c r="H14" s="477"/>
    </row>
    <row r="15" spans="1:8" ht="71.25" customHeight="1" x14ac:dyDescent="0.2">
      <c r="A15" s="520" t="s">
        <v>366</v>
      </c>
      <c r="B15" s="477"/>
      <c r="C15" s="477"/>
      <c r="D15" s="477"/>
      <c r="E15" s="477"/>
      <c r="F15" s="536"/>
      <c r="G15" s="461"/>
      <c r="H15" s="461"/>
    </row>
    <row r="16" spans="1:8" ht="43.5" customHeight="1" x14ac:dyDescent="0.2">
      <c r="A16" s="520" t="s">
        <v>437</v>
      </c>
      <c r="B16" s="477"/>
      <c r="C16" s="477"/>
      <c r="D16" s="477"/>
      <c r="E16" s="477"/>
      <c r="F16" s="455"/>
      <c r="G16" s="455"/>
      <c r="H16" s="455"/>
    </row>
    <row r="17" spans="1:8" ht="21" customHeight="1" x14ac:dyDescent="0.2">
      <c r="A17" s="521" t="s">
        <v>367</v>
      </c>
      <c r="B17" s="477"/>
      <c r="C17" s="477"/>
      <c r="D17" s="477"/>
      <c r="E17" s="477"/>
      <c r="F17" s="477"/>
      <c r="G17" s="462"/>
      <c r="H17" s="462"/>
    </row>
    <row r="18" spans="1:8" x14ac:dyDescent="0.2">
      <c r="A18" s="459"/>
      <c r="B18" s="459"/>
      <c r="C18" s="459"/>
      <c r="D18" s="463"/>
      <c r="E18" s="463"/>
      <c r="F18" s="463"/>
      <c r="G18" s="463"/>
      <c r="H18" s="463"/>
    </row>
    <row r="19" spans="1:8" ht="30" x14ac:dyDescent="0.2">
      <c r="A19" s="459" t="s">
        <v>368</v>
      </c>
      <c r="B19" s="459"/>
      <c r="C19" s="459"/>
      <c r="D19" s="455"/>
      <c r="E19" s="455"/>
      <c r="F19" s="455"/>
      <c r="G19" s="455"/>
      <c r="H19" s="455"/>
    </row>
    <row r="20" spans="1:8" x14ac:dyDescent="0.2">
      <c r="A20" s="520"/>
      <c r="B20" s="477"/>
      <c r="C20" s="477"/>
      <c r="D20" s="477"/>
      <c r="E20" s="477"/>
      <c r="F20" s="455"/>
      <c r="G20" s="455"/>
      <c r="H20" s="455"/>
    </row>
    <row r="21" spans="1:8" ht="26.25" customHeight="1" x14ac:dyDescent="0.2">
      <c r="A21" s="519" t="s">
        <v>369</v>
      </c>
      <c r="B21" s="477"/>
      <c r="C21" s="477"/>
      <c r="D21" s="477"/>
      <c r="E21" s="477"/>
      <c r="F21" s="477"/>
      <c r="G21" s="477"/>
      <c r="H21" s="477"/>
    </row>
    <row r="22" spans="1:8" ht="54.75" customHeight="1" x14ac:dyDescent="0.2">
      <c r="A22" s="520" t="s">
        <v>370</v>
      </c>
      <c r="B22" s="477"/>
      <c r="C22" s="477"/>
      <c r="D22" s="477"/>
      <c r="E22" s="477"/>
      <c r="F22" s="460"/>
      <c r="G22" s="461"/>
      <c r="H22" s="461"/>
    </row>
    <row r="23" spans="1:8" x14ac:dyDescent="0.2">
      <c r="A23" s="520"/>
      <c r="B23" s="477"/>
      <c r="C23" s="477"/>
      <c r="D23" s="477"/>
      <c r="E23" s="477"/>
      <c r="F23" s="477"/>
      <c r="G23" s="455"/>
      <c r="H23" s="455"/>
    </row>
    <row r="24" spans="1:8" ht="12.75" x14ac:dyDescent="0.2">
      <c r="A24" s="522" t="s">
        <v>369</v>
      </c>
      <c r="B24" s="477"/>
      <c r="C24" s="477"/>
      <c r="D24" s="477"/>
      <c r="E24" s="477"/>
      <c r="F24" s="477"/>
      <c r="G24" s="477"/>
      <c r="H24" s="477"/>
    </row>
    <row r="25" spans="1:8" ht="33.75" customHeight="1" x14ac:dyDescent="0.2">
      <c r="A25" s="520"/>
      <c r="B25" s="477"/>
      <c r="C25" s="477"/>
      <c r="D25" s="477"/>
      <c r="E25" s="477"/>
      <c r="F25" s="455"/>
      <c r="G25" s="455"/>
      <c r="H25" s="455"/>
    </row>
    <row r="26" spans="1:8" x14ac:dyDescent="0.2">
      <c r="A26" s="459"/>
      <c r="B26" s="459"/>
      <c r="C26" s="464"/>
      <c r="D26" s="464"/>
      <c r="E26" s="459"/>
      <c r="F26" s="459"/>
      <c r="G26" s="459"/>
      <c r="H26" s="459"/>
    </row>
    <row r="27" spans="1:8" ht="20.25" customHeight="1" x14ac:dyDescent="0.2">
      <c r="A27" s="520"/>
      <c r="B27" s="477"/>
      <c r="C27" s="465"/>
      <c r="D27" s="466"/>
      <c r="E27" s="523"/>
      <c r="F27" s="477"/>
      <c r="G27" s="459"/>
      <c r="H27" s="459"/>
    </row>
    <row r="28" spans="1:8" x14ac:dyDescent="0.2">
      <c r="A28" s="520"/>
      <c r="B28" s="477"/>
      <c r="C28" s="477"/>
      <c r="D28" s="477"/>
      <c r="E28" s="477"/>
      <c r="F28" s="455"/>
      <c r="G28" s="455"/>
      <c r="H28" s="455"/>
    </row>
    <row r="29" spans="1:8" ht="26.25" customHeight="1" x14ac:dyDescent="0.2">
      <c r="A29" s="519" t="s">
        <v>48</v>
      </c>
      <c r="B29" s="477"/>
      <c r="C29" s="477"/>
      <c r="D29" s="477"/>
      <c r="E29" s="477"/>
      <c r="F29" s="477"/>
      <c r="G29" s="477"/>
      <c r="H29" s="477"/>
    </row>
    <row r="30" spans="1:8" ht="33.75" customHeight="1" x14ac:dyDescent="0.2">
      <c r="A30" s="520" t="s">
        <v>371</v>
      </c>
      <c r="B30" s="477"/>
      <c r="C30" s="477"/>
      <c r="D30" s="477"/>
      <c r="E30" s="477"/>
      <c r="F30" s="455"/>
      <c r="G30" s="455"/>
      <c r="H30" s="455"/>
    </row>
    <row r="31" spans="1:8" x14ac:dyDescent="0.2">
      <c r="A31" s="520" t="s">
        <v>372</v>
      </c>
      <c r="B31" s="477"/>
      <c r="C31" s="477"/>
      <c r="D31" s="477"/>
      <c r="E31" s="477"/>
      <c r="F31" s="455"/>
      <c r="G31" s="455"/>
      <c r="H31" s="455"/>
    </row>
    <row r="32" spans="1:8" x14ac:dyDescent="0.2">
      <c r="A32" s="520"/>
      <c r="B32" s="477"/>
      <c r="C32" s="477"/>
      <c r="D32" s="477"/>
      <c r="E32" s="477"/>
      <c r="F32" s="477"/>
      <c r="G32" s="459"/>
      <c r="H32" s="459"/>
    </row>
    <row r="33" spans="1:8" ht="18.75" customHeight="1" x14ac:dyDescent="0.2">
      <c r="A33" s="520"/>
      <c r="B33" s="477"/>
      <c r="C33" s="477"/>
      <c r="D33" s="477"/>
      <c r="E33" s="477"/>
      <c r="F33" s="477"/>
      <c r="G33" s="459"/>
      <c r="H33" s="459"/>
    </row>
    <row r="34" spans="1:8" ht="26.25" customHeight="1" x14ac:dyDescent="0.2">
      <c r="A34" s="519" t="s">
        <v>373</v>
      </c>
      <c r="B34" s="477"/>
      <c r="C34" s="477"/>
      <c r="D34" s="477"/>
      <c r="E34" s="477"/>
      <c r="F34" s="477"/>
      <c r="G34" s="477"/>
      <c r="H34" s="477"/>
    </row>
    <row r="35" spans="1:8" ht="27" customHeight="1" x14ac:dyDescent="0.2">
      <c r="A35" s="520" t="s">
        <v>374</v>
      </c>
      <c r="B35" s="477"/>
      <c r="C35" s="477"/>
      <c r="D35" s="477"/>
      <c r="E35" s="477"/>
      <c r="F35" s="455"/>
      <c r="G35" s="455"/>
      <c r="H35" s="455"/>
    </row>
    <row r="36" spans="1:8" ht="57" customHeight="1" x14ac:dyDescent="0.2">
      <c r="A36" s="520" t="s">
        <v>438</v>
      </c>
      <c r="B36" s="477"/>
      <c r="C36" s="477"/>
      <c r="D36" s="477"/>
      <c r="E36" s="477"/>
      <c r="F36" s="455"/>
      <c r="G36" s="455"/>
      <c r="H36" s="455"/>
    </row>
    <row r="37" spans="1:8" x14ac:dyDescent="0.2">
      <c r="A37" s="520"/>
      <c r="B37" s="477"/>
      <c r="C37" s="477"/>
      <c r="D37" s="477"/>
      <c r="E37" s="477"/>
      <c r="F37" s="455"/>
      <c r="G37" s="455"/>
      <c r="H37" s="455"/>
    </row>
    <row r="38" spans="1:8" ht="26.25" customHeight="1" x14ac:dyDescent="0.2">
      <c r="A38" s="519" t="s">
        <v>70</v>
      </c>
      <c r="B38" s="477"/>
      <c r="C38" s="477"/>
      <c r="D38" s="477"/>
      <c r="E38" s="477"/>
      <c r="F38" s="477"/>
      <c r="G38" s="477"/>
      <c r="H38" s="477"/>
    </row>
    <row r="39" spans="1:8" ht="26.25" customHeight="1" x14ac:dyDescent="0.2">
      <c r="A39" s="520" t="s">
        <v>375</v>
      </c>
      <c r="B39" s="477"/>
      <c r="C39" s="477"/>
      <c r="D39" s="477"/>
      <c r="E39" s="477"/>
      <c r="F39" s="455"/>
      <c r="G39" s="455"/>
      <c r="H39" s="455"/>
    </row>
    <row r="40" spans="1:8" x14ac:dyDescent="0.2">
      <c r="A40" s="520" t="s">
        <v>376</v>
      </c>
      <c r="B40" s="477"/>
      <c r="C40" s="477"/>
      <c r="D40" s="477"/>
      <c r="E40" s="477"/>
      <c r="F40" s="455"/>
      <c r="G40" s="455"/>
      <c r="H40" s="455"/>
    </row>
    <row r="41" spans="1:8" x14ac:dyDescent="0.2">
      <c r="A41" s="520"/>
      <c r="B41" s="477"/>
      <c r="C41" s="520"/>
      <c r="D41" s="477"/>
      <c r="E41" s="520"/>
      <c r="F41" s="477"/>
      <c r="G41" s="459"/>
      <c r="H41" s="459"/>
    </row>
    <row r="42" spans="1:8" ht="26.25" customHeight="1" x14ac:dyDescent="0.2">
      <c r="A42" s="519" t="s">
        <v>377</v>
      </c>
      <c r="B42" s="477"/>
      <c r="C42" s="477"/>
      <c r="D42" s="477"/>
      <c r="E42" s="477"/>
      <c r="F42" s="477"/>
      <c r="G42" s="477"/>
      <c r="H42" s="477"/>
    </row>
    <row r="43" spans="1:8" ht="42" customHeight="1" x14ac:dyDescent="0.2">
      <c r="A43" s="520" t="s">
        <v>378</v>
      </c>
      <c r="B43" s="477"/>
      <c r="C43" s="477"/>
      <c r="D43" s="477"/>
      <c r="E43" s="477"/>
      <c r="F43" s="455"/>
      <c r="G43" s="455"/>
      <c r="H43" s="455"/>
    </row>
    <row r="44" spans="1:8" x14ac:dyDescent="0.2">
      <c r="A44" s="520"/>
      <c r="B44" s="477"/>
      <c r="C44" s="477"/>
      <c r="D44" s="477"/>
      <c r="E44" s="477"/>
      <c r="F44" s="455"/>
      <c r="G44" s="455"/>
      <c r="H44" s="455"/>
    </row>
    <row r="45" spans="1:8" ht="26.25" customHeight="1" x14ac:dyDescent="0.2">
      <c r="A45" s="519" t="s">
        <v>379</v>
      </c>
      <c r="B45" s="477"/>
      <c r="C45" s="477"/>
      <c r="D45" s="477"/>
      <c r="E45" s="477"/>
      <c r="F45" s="477"/>
      <c r="G45" s="477"/>
      <c r="H45" s="477"/>
    </row>
    <row r="46" spans="1:8" ht="56.25" customHeight="1" x14ac:dyDescent="0.2">
      <c r="A46" s="520" t="s">
        <v>380</v>
      </c>
      <c r="B46" s="477"/>
      <c r="C46" s="477"/>
      <c r="D46" s="477"/>
      <c r="E46" s="477"/>
      <c r="F46" s="460"/>
      <c r="G46" s="461"/>
      <c r="H46" s="461"/>
    </row>
    <row r="47" spans="1:8" ht="12.75" x14ac:dyDescent="0.2">
      <c r="A47" s="522" t="s">
        <v>381</v>
      </c>
      <c r="B47" s="477"/>
      <c r="C47" s="477"/>
      <c r="D47" s="477"/>
      <c r="E47" s="477"/>
      <c r="F47" s="477"/>
      <c r="G47" s="477"/>
      <c r="H47" s="477"/>
    </row>
    <row r="48" spans="1:8" x14ac:dyDescent="0.2">
      <c r="A48" s="467" t="s">
        <v>76</v>
      </c>
      <c r="B48" s="467"/>
      <c r="C48" s="467"/>
      <c r="D48" s="467"/>
      <c r="E48" s="467"/>
      <c r="F48" s="455"/>
      <c r="G48" s="455"/>
      <c r="H48" s="455"/>
    </row>
    <row r="49" spans="1:8" x14ac:dyDescent="0.2">
      <c r="A49" s="467" t="s">
        <v>77</v>
      </c>
      <c r="B49" s="467"/>
      <c r="C49" s="467"/>
      <c r="D49" s="467"/>
      <c r="E49" s="467"/>
      <c r="F49" s="455"/>
      <c r="G49" s="455"/>
      <c r="H49" s="455"/>
    </row>
    <row r="50" spans="1:8" x14ac:dyDescent="0.2">
      <c r="A50" s="171" t="s">
        <v>78</v>
      </c>
      <c r="B50" s="467"/>
      <c r="C50" s="467"/>
      <c r="D50" s="467"/>
      <c r="E50" s="467"/>
      <c r="F50" s="455"/>
      <c r="G50" s="455"/>
      <c r="H50" s="455"/>
    </row>
    <row r="51" spans="1:8" x14ac:dyDescent="0.2">
      <c r="A51" s="171" t="s">
        <v>79</v>
      </c>
      <c r="B51" s="467"/>
      <c r="C51" s="467"/>
      <c r="D51" s="467"/>
      <c r="E51" s="467"/>
      <c r="F51" s="455"/>
      <c r="G51" s="455"/>
      <c r="H51" s="455"/>
    </row>
    <row r="52" spans="1:8" x14ac:dyDescent="0.2">
      <c r="A52" s="467"/>
      <c r="B52" s="467"/>
      <c r="C52" s="467"/>
      <c r="D52" s="467"/>
      <c r="E52" s="467"/>
      <c r="F52" s="455"/>
      <c r="G52" s="455"/>
      <c r="H52" s="455"/>
    </row>
    <row r="53" spans="1:8" x14ac:dyDescent="0.2">
      <c r="A53" s="520"/>
      <c r="B53" s="477"/>
      <c r="C53" s="477"/>
      <c r="D53" s="477"/>
      <c r="E53" s="477"/>
      <c r="F53" s="455"/>
      <c r="G53" s="455"/>
      <c r="H53" s="455"/>
    </row>
    <row r="54" spans="1:8" ht="12.75" x14ac:dyDescent="0.2">
      <c r="A54" s="522" t="s">
        <v>382</v>
      </c>
      <c r="B54" s="477"/>
      <c r="C54" s="477"/>
      <c r="D54" s="477"/>
      <c r="E54" s="477"/>
      <c r="F54" s="477"/>
      <c r="G54" s="477"/>
      <c r="H54" s="477"/>
    </row>
    <row r="55" spans="1:8" x14ac:dyDescent="0.2">
      <c r="A55" s="467"/>
      <c r="B55" s="455"/>
      <c r="C55" s="455"/>
      <c r="D55" s="455"/>
      <c r="E55" s="455"/>
      <c r="F55" s="455"/>
      <c r="G55" s="455"/>
      <c r="H55" s="455"/>
    </row>
    <row r="56" spans="1:8" x14ac:dyDescent="0.2">
      <c r="A56" s="467"/>
      <c r="B56" s="455"/>
      <c r="C56" s="455"/>
      <c r="D56" s="455"/>
      <c r="E56" s="455"/>
      <c r="F56" s="455"/>
      <c r="G56" s="455"/>
      <c r="H56" s="455"/>
    </row>
    <row r="57" spans="1:8" x14ac:dyDescent="0.2">
      <c r="A57" s="467"/>
      <c r="B57" s="455"/>
      <c r="C57" s="455"/>
      <c r="D57" s="455"/>
      <c r="E57" s="455"/>
      <c r="F57" s="455"/>
      <c r="G57" s="455"/>
      <c r="H57" s="455"/>
    </row>
    <row r="58" spans="1:8" x14ac:dyDescent="0.2">
      <c r="A58" s="468"/>
      <c r="B58" s="455"/>
      <c r="C58" s="455"/>
      <c r="D58" s="455"/>
      <c r="E58" s="455"/>
      <c r="F58" s="455"/>
      <c r="G58" s="455"/>
      <c r="H58" s="455"/>
    </row>
    <row r="59" spans="1:8" x14ac:dyDescent="0.2">
      <c r="A59" s="469"/>
      <c r="B59" s="455"/>
      <c r="C59" s="455"/>
      <c r="D59" s="455"/>
      <c r="E59" s="455"/>
      <c r="F59" s="455"/>
      <c r="G59" s="455"/>
      <c r="H59" s="455"/>
    </row>
    <row r="60" spans="1:8" x14ac:dyDescent="0.2">
      <c r="A60" s="455"/>
      <c r="B60" s="455"/>
      <c r="C60" s="455"/>
      <c r="D60" s="455"/>
      <c r="E60" s="455"/>
      <c r="F60" s="455"/>
      <c r="G60" s="455"/>
      <c r="H60" s="455"/>
    </row>
    <row r="61" spans="1:8" ht="26.25" customHeight="1" x14ac:dyDescent="0.2">
      <c r="A61" s="519" t="s">
        <v>383</v>
      </c>
      <c r="B61" s="477"/>
      <c r="C61" s="477"/>
      <c r="D61" s="477"/>
      <c r="E61" s="477"/>
      <c r="F61" s="477"/>
      <c r="G61" s="458"/>
      <c r="H61" s="458"/>
    </row>
    <row r="62" spans="1:8" ht="70.5" customHeight="1" x14ac:dyDescent="0.2">
      <c r="A62" s="520" t="s">
        <v>384</v>
      </c>
      <c r="B62" s="477"/>
      <c r="C62" s="477"/>
      <c r="D62" s="477"/>
      <c r="E62" s="477"/>
      <c r="F62" s="460"/>
      <c r="G62" s="461"/>
      <c r="H62" s="461"/>
    </row>
    <row r="63" spans="1:8" x14ac:dyDescent="0.2">
      <c r="A63" s="520"/>
      <c r="B63" s="477"/>
      <c r="C63" s="477"/>
      <c r="D63" s="477"/>
      <c r="E63" s="477"/>
      <c r="F63" s="455"/>
      <c r="G63" s="455"/>
      <c r="H63" s="455"/>
    </row>
    <row r="64" spans="1:8" ht="12.75" x14ac:dyDescent="0.2">
      <c r="A64" s="522" t="s">
        <v>385</v>
      </c>
      <c r="B64" s="477"/>
      <c r="C64" s="477"/>
      <c r="D64" s="477"/>
      <c r="E64" s="477"/>
      <c r="F64" s="477"/>
      <c r="G64" s="477"/>
      <c r="H64" s="477"/>
    </row>
    <row r="65" spans="1:8" x14ac:dyDescent="0.2">
      <c r="A65" s="520" t="s">
        <v>386</v>
      </c>
      <c r="B65" s="477"/>
      <c r="C65" s="477"/>
      <c r="D65" s="477"/>
      <c r="E65" s="477"/>
      <c r="F65" s="460"/>
      <c r="G65" s="461"/>
      <c r="H65" s="461"/>
    </row>
    <row r="66" spans="1:8" x14ac:dyDescent="0.2">
      <c r="A66" s="520"/>
      <c r="B66" s="477"/>
      <c r="C66" s="477"/>
      <c r="D66" s="477"/>
      <c r="E66" s="477"/>
      <c r="F66" s="455"/>
      <c r="G66" s="455"/>
      <c r="H66" s="455"/>
    </row>
    <row r="67" spans="1:8" ht="12.75" x14ac:dyDescent="0.2">
      <c r="A67" s="522" t="s">
        <v>175</v>
      </c>
      <c r="B67" s="477"/>
      <c r="C67" s="477"/>
      <c r="D67" s="477"/>
      <c r="E67" s="477"/>
      <c r="F67" s="477"/>
      <c r="G67" s="477"/>
      <c r="H67" s="477"/>
    </row>
    <row r="68" spans="1:8" ht="27.75" customHeight="1" x14ac:dyDescent="0.2">
      <c r="A68" s="520" t="s">
        <v>387</v>
      </c>
      <c r="B68" s="477"/>
      <c r="C68" s="477"/>
      <c r="D68" s="477"/>
      <c r="E68" s="477"/>
      <c r="F68" s="455"/>
      <c r="G68" s="455"/>
      <c r="H68" s="455"/>
    </row>
    <row r="69" spans="1:8" x14ac:dyDescent="0.2">
      <c r="A69" s="520"/>
      <c r="B69" s="477"/>
      <c r="C69" s="477"/>
      <c r="D69" s="477"/>
      <c r="E69" s="477"/>
      <c r="F69" s="455"/>
      <c r="G69" s="455"/>
      <c r="H69" s="455"/>
    </row>
    <row r="70" spans="1:8" ht="12.75" x14ac:dyDescent="0.2">
      <c r="A70" s="522" t="s">
        <v>140</v>
      </c>
      <c r="B70" s="477"/>
      <c r="C70" s="477"/>
      <c r="D70" s="477"/>
      <c r="E70" s="477"/>
      <c r="F70" s="477"/>
      <c r="G70" s="477"/>
      <c r="H70" s="477"/>
    </row>
    <row r="71" spans="1:8" ht="84.75" customHeight="1" x14ac:dyDescent="0.2">
      <c r="A71" s="520" t="s">
        <v>388</v>
      </c>
      <c r="B71" s="477"/>
      <c r="C71" s="477"/>
      <c r="D71" s="477"/>
      <c r="E71" s="477"/>
      <c r="F71" s="460"/>
      <c r="G71" s="461"/>
      <c r="H71" s="461"/>
    </row>
    <row r="72" spans="1:8" x14ac:dyDescent="0.2">
      <c r="A72" s="520"/>
      <c r="B72" s="477"/>
      <c r="C72" s="477"/>
      <c r="D72" s="477"/>
      <c r="E72" s="477"/>
      <c r="F72" s="455"/>
      <c r="G72" s="455"/>
      <c r="H72" s="455"/>
    </row>
    <row r="73" spans="1:8" ht="26.25" customHeight="1" x14ac:dyDescent="0.2">
      <c r="A73" s="519" t="s">
        <v>88</v>
      </c>
      <c r="B73" s="477"/>
      <c r="C73" s="477"/>
      <c r="D73" s="477"/>
      <c r="E73" s="477"/>
      <c r="F73" s="477"/>
      <c r="G73" s="477"/>
      <c r="H73" s="477"/>
    </row>
    <row r="74" spans="1:8" ht="55.5" customHeight="1" x14ac:dyDescent="0.2">
      <c r="A74" s="520" t="s">
        <v>389</v>
      </c>
      <c r="B74" s="477"/>
      <c r="C74" s="477"/>
      <c r="D74" s="477"/>
      <c r="E74" s="477"/>
      <c r="F74" s="455"/>
      <c r="G74" s="455"/>
      <c r="H74" s="455"/>
    </row>
    <row r="75" spans="1:8" x14ac:dyDescent="0.2">
      <c r="A75" s="521" t="s">
        <v>390</v>
      </c>
      <c r="B75" s="477"/>
      <c r="C75" s="477"/>
      <c r="D75" s="477"/>
      <c r="E75" s="477"/>
      <c r="F75" s="455"/>
      <c r="G75" s="455"/>
      <c r="H75" s="455"/>
    </row>
    <row r="76" spans="1:8" x14ac:dyDescent="0.2">
      <c r="A76" s="520" t="s">
        <v>391</v>
      </c>
      <c r="B76" s="477"/>
      <c r="C76" s="477"/>
      <c r="D76" s="477"/>
      <c r="E76" s="477"/>
      <c r="F76" s="455"/>
      <c r="G76" s="455"/>
      <c r="H76" s="455"/>
    </row>
    <row r="77" spans="1:8" ht="86.25" customHeight="1" x14ac:dyDescent="0.2">
      <c r="A77" s="520" t="s">
        <v>392</v>
      </c>
      <c r="B77" s="477"/>
      <c r="C77" s="477"/>
      <c r="D77" s="477"/>
      <c r="E77" s="477"/>
      <c r="F77" s="455"/>
      <c r="G77" s="455"/>
      <c r="H77" s="455"/>
    </row>
    <row r="78" spans="1:8" x14ac:dyDescent="0.2">
      <c r="A78" s="520"/>
      <c r="B78" s="477"/>
      <c r="C78" s="477"/>
      <c r="D78" s="477"/>
      <c r="E78" s="477"/>
      <c r="F78" s="455"/>
      <c r="G78" s="455"/>
      <c r="H78" s="455"/>
    </row>
    <row r="79" spans="1:8" ht="26.25" customHeight="1" x14ac:dyDescent="0.2">
      <c r="A79" s="519" t="s">
        <v>105</v>
      </c>
      <c r="B79" s="477"/>
      <c r="C79" s="477"/>
      <c r="D79" s="477"/>
      <c r="E79" s="477"/>
      <c r="F79" s="477"/>
      <c r="G79" s="477"/>
      <c r="H79" s="477"/>
    </row>
    <row r="80" spans="1:8" ht="57" customHeight="1" x14ac:dyDescent="0.2">
      <c r="A80" s="520" t="s">
        <v>393</v>
      </c>
      <c r="B80" s="477"/>
      <c r="C80" s="477"/>
      <c r="D80" s="477"/>
      <c r="E80" s="477"/>
      <c r="F80" s="460"/>
      <c r="G80" s="461"/>
      <c r="H80" s="461"/>
    </row>
    <row r="81" spans="1:8" ht="12.75" x14ac:dyDescent="0.2">
      <c r="A81" s="522" t="s">
        <v>108</v>
      </c>
      <c r="B81" s="477"/>
      <c r="C81" s="477"/>
      <c r="D81" s="477"/>
      <c r="E81" s="477"/>
      <c r="F81" s="477"/>
      <c r="G81" s="477"/>
      <c r="H81" s="477"/>
    </row>
    <row r="82" spans="1:8" ht="70.5" customHeight="1" x14ac:dyDescent="0.2">
      <c r="A82" s="520" t="s">
        <v>394</v>
      </c>
      <c r="B82" s="477"/>
      <c r="C82" s="477"/>
      <c r="D82" s="477"/>
      <c r="E82" s="477"/>
      <c r="F82" s="460"/>
      <c r="G82" s="461"/>
      <c r="H82" s="461"/>
    </row>
    <row r="83" spans="1:8" x14ac:dyDescent="0.2">
      <c r="A83" s="520"/>
      <c r="B83" s="477"/>
      <c r="C83" s="477"/>
      <c r="D83" s="477"/>
      <c r="E83" s="477"/>
      <c r="F83" s="455"/>
      <c r="G83" s="455"/>
      <c r="H83" s="455"/>
    </row>
    <row r="84" spans="1:8" ht="12.75" x14ac:dyDescent="0.2">
      <c r="A84" s="522" t="s">
        <v>395</v>
      </c>
      <c r="B84" s="477"/>
      <c r="C84" s="477"/>
      <c r="D84" s="477"/>
      <c r="E84" s="477"/>
      <c r="F84" s="477"/>
      <c r="G84" s="477"/>
      <c r="H84" s="477"/>
    </row>
    <row r="85" spans="1:8" ht="70.5" customHeight="1" x14ac:dyDescent="0.2">
      <c r="A85" s="520" t="s">
        <v>396</v>
      </c>
      <c r="B85" s="477"/>
      <c r="C85" s="477"/>
      <c r="D85" s="477"/>
      <c r="E85" s="477"/>
      <c r="F85" s="460"/>
      <c r="G85" s="461"/>
      <c r="H85" s="461"/>
    </row>
    <row r="86" spans="1:8" ht="83.25" customHeight="1" x14ac:dyDescent="0.2">
      <c r="A86" s="520" t="s">
        <v>397</v>
      </c>
      <c r="B86" s="477"/>
      <c r="C86" s="477"/>
      <c r="D86" s="477"/>
      <c r="E86" s="477"/>
      <c r="F86" s="455"/>
      <c r="G86" s="455"/>
      <c r="H86" s="455"/>
    </row>
    <row r="87" spans="1:8" x14ac:dyDescent="0.2">
      <c r="A87" s="520"/>
      <c r="B87" s="477"/>
      <c r="C87" s="477"/>
      <c r="D87" s="477"/>
      <c r="E87" s="477"/>
      <c r="F87" s="455"/>
      <c r="G87" s="455"/>
      <c r="H87" s="455"/>
    </row>
    <row r="88" spans="1:8" ht="12.75" x14ac:dyDescent="0.2">
      <c r="A88" s="522" t="s">
        <v>398</v>
      </c>
      <c r="B88" s="477"/>
      <c r="C88" s="477"/>
      <c r="D88" s="477"/>
      <c r="E88" s="477"/>
      <c r="F88" s="477"/>
      <c r="G88" s="477"/>
      <c r="H88" s="477"/>
    </row>
    <row r="89" spans="1:8" ht="84.75" customHeight="1" x14ac:dyDescent="0.2">
      <c r="A89" s="520" t="s">
        <v>399</v>
      </c>
      <c r="B89" s="477"/>
      <c r="C89" s="477"/>
      <c r="D89" s="477"/>
      <c r="E89" s="477"/>
      <c r="F89" s="455"/>
      <c r="G89" s="455"/>
      <c r="H89" s="455"/>
    </row>
    <row r="90" spans="1:8" ht="84" customHeight="1" x14ac:dyDescent="0.2">
      <c r="A90" s="520" t="s">
        <v>400</v>
      </c>
      <c r="B90" s="477"/>
      <c r="C90" s="477"/>
      <c r="D90" s="477"/>
      <c r="E90" s="477"/>
      <c r="F90" s="455"/>
      <c r="G90" s="455"/>
      <c r="H90" s="455"/>
    </row>
    <row r="91" spans="1:8" x14ac:dyDescent="0.2">
      <c r="A91" s="520"/>
      <c r="B91" s="477"/>
      <c r="C91" s="477"/>
      <c r="D91" s="477"/>
      <c r="E91" s="477"/>
      <c r="F91" s="455"/>
      <c r="G91" s="455"/>
      <c r="H91" s="455"/>
    </row>
    <row r="92" spans="1:8" ht="26.25" customHeight="1" x14ac:dyDescent="0.2">
      <c r="A92" s="519" t="s">
        <v>401</v>
      </c>
      <c r="B92" s="477"/>
      <c r="C92" s="477"/>
      <c r="D92" s="477"/>
      <c r="E92" s="477"/>
      <c r="F92" s="477"/>
      <c r="G92" s="477"/>
      <c r="H92" s="477"/>
    </row>
    <row r="93" spans="1:8" ht="27.75" customHeight="1" x14ac:dyDescent="0.2">
      <c r="A93" s="520" t="s">
        <v>402</v>
      </c>
      <c r="B93" s="477"/>
      <c r="C93" s="477"/>
      <c r="D93" s="477"/>
      <c r="E93" s="477"/>
      <c r="F93" s="460"/>
      <c r="G93" s="461"/>
      <c r="H93" s="461"/>
    </row>
    <row r="94" spans="1:8" ht="57" customHeight="1" x14ac:dyDescent="0.2">
      <c r="A94" s="533" t="s">
        <v>439</v>
      </c>
      <c r="B94" s="534"/>
      <c r="C94" s="534"/>
      <c r="D94" s="534"/>
      <c r="E94" s="535"/>
      <c r="F94" s="460"/>
      <c r="G94" s="461"/>
      <c r="H94" s="461"/>
    </row>
    <row r="95" spans="1:8" x14ac:dyDescent="0.2">
      <c r="A95" s="520"/>
      <c r="B95" s="477"/>
      <c r="C95" s="477"/>
      <c r="D95" s="477"/>
      <c r="E95" s="477"/>
      <c r="F95" s="455"/>
      <c r="G95" s="455"/>
      <c r="H95" s="455"/>
    </row>
    <row r="96" spans="1:8" x14ac:dyDescent="0.2">
      <c r="A96" s="521" t="s">
        <v>403</v>
      </c>
      <c r="B96" s="477"/>
      <c r="C96" s="477"/>
      <c r="D96" s="477"/>
      <c r="E96" s="477"/>
      <c r="F96" s="455"/>
      <c r="G96" s="455"/>
      <c r="H96" s="455"/>
    </row>
    <row r="97" spans="1:8" ht="56.25" customHeight="1" x14ac:dyDescent="0.2">
      <c r="A97" s="520" t="s">
        <v>404</v>
      </c>
      <c r="B97" s="477"/>
      <c r="C97" s="477"/>
      <c r="D97" s="477"/>
      <c r="E97" s="477"/>
      <c r="F97" s="470"/>
      <c r="G97" s="470"/>
      <c r="H97" s="470"/>
    </row>
    <row r="98" spans="1:8" ht="42" customHeight="1" x14ac:dyDescent="0.2">
      <c r="A98" s="520" t="s">
        <v>405</v>
      </c>
      <c r="B98" s="477"/>
      <c r="C98" s="477"/>
      <c r="D98" s="477"/>
      <c r="E98" s="477"/>
      <c r="F98" s="455"/>
      <c r="G98" s="455"/>
      <c r="H98" s="455"/>
    </row>
    <row r="99" spans="1:8" ht="41.25" customHeight="1" x14ac:dyDescent="0.2">
      <c r="A99" s="520" t="s">
        <v>406</v>
      </c>
      <c r="B99" s="477"/>
      <c r="C99" s="477"/>
      <c r="D99" s="477"/>
      <c r="E99" s="477"/>
      <c r="F99" s="455"/>
      <c r="G99" s="455"/>
      <c r="H99" s="455"/>
    </row>
    <row r="100" spans="1:8" x14ac:dyDescent="0.2">
      <c r="A100" s="520"/>
      <c r="B100" s="477"/>
      <c r="C100" s="477"/>
      <c r="D100" s="477"/>
      <c r="E100" s="477"/>
      <c r="F100" s="455"/>
      <c r="G100" s="455"/>
      <c r="H100" s="455"/>
    </row>
    <row r="101" spans="1:8" ht="40.5" customHeight="1" x14ac:dyDescent="0.2">
      <c r="A101" s="520" t="s">
        <v>407</v>
      </c>
      <c r="B101" s="477"/>
      <c r="C101" s="477"/>
      <c r="D101" s="477"/>
      <c r="E101" s="477"/>
      <c r="F101" s="455"/>
      <c r="G101" s="455"/>
      <c r="H101" s="455"/>
    </row>
    <row r="102" spans="1:8" x14ac:dyDescent="0.2">
      <c r="A102" s="520"/>
      <c r="B102" s="477"/>
      <c r="C102" s="477"/>
      <c r="D102" s="477"/>
      <c r="E102" s="477"/>
      <c r="F102" s="455"/>
      <c r="G102" s="455"/>
      <c r="H102" s="455"/>
    </row>
    <row r="103" spans="1:8" ht="26.25" customHeight="1" x14ac:dyDescent="0.2">
      <c r="A103" s="519" t="s">
        <v>131</v>
      </c>
      <c r="B103" s="477"/>
      <c r="C103" s="477"/>
      <c r="D103" s="477"/>
      <c r="E103" s="477"/>
      <c r="F103" s="477"/>
      <c r="G103" s="477"/>
      <c r="H103" s="477"/>
    </row>
    <row r="104" spans="1:8" ht="42" customHeight="1" x14ac:dyDescent="0.2">
      <c r="A104" s="520" t="s">
        <v>408</v>
      </c>
      <c r="B104" s="477"/>
      <c r="C104" s="477"/>
      <c r="D104" s="477"/>
      <c r="E104" s="477"/>
      <c r="F104" s="471"/>
      <c r="G104" s="472"/>
      <c r="H104" s="472"/>
    </row>
    <row r="105" spans="1:8" ht="12.75" x14ac:dyDescent="0.2">
      <c r="A105" s="522" t="s">
        <v>132</v>
      </c>
      <c r="B105" s="477"/>
      <c r="C105" s="477"/>
      <c r="D105" s="477"/>
      <c r="E105" s="477"/>
      <c r="F105" s="477"/>
      <c r="G105" s="477"/>
      <c r="H105" s="477"/>
    </row>
    <row r="106" spans="1:8" ht="29.25" customHeight="1" x14ac:dyDescent="0.2">
      <c r="A106" s="520" t="s">
        <v>409</v>
      </c>
      <c r="B106" s="477"/>
      <c r="C106" s="477"/>
      <c r="D106" s="477"/>
      <c r="E106" s="477"/>
      <c r="F106" s="455"/>
      <c r="G106" s="455"/>
      <c r="H106" s="455"/>
    </row>
    <row r="107" spans="1:8" x14ac:dyDescent="0.2">
      <c r="A107" s="521" t="s">
        <v>410</v>
      </c>
      <c r="B107" s="477"/>
      <c r="C107" s="521" t="s">
        <v>411</v>
      </c>
      <c r="D107" s="477"/>
      <c r="E107" s="477"/>
      <c r="F107" s="455"/>
      <c r="G107" s="455"/>
      <c r="H107" s="455"/>
    </row>
    <row r="108" spans="1:8" x14ac:dyDescent="0.2">
      <c r="A108" s="520" t="s">
        <v>412</v>
      </c>
      <c r="B108" s="477"/>
      <c r="C108" s="520" t="s">
        <v>413</v>
      </c>
      <c r="D108" s="477"/>
      <c r="E108" s="477"/>
      <c r="F108" s="455"/>
      <c r="G108" s="455"/>
      <c r="H108" s="455"/>
    </row>
    <row r="109" spans="1:8" x14ac:dyDescent="0.2">
      <c r="A109" s="520" t="s">
        <v>414</v>
      </c>
      <c r="B109" s="477"/>
      <c r="C109" s="520" t="s">
        <v>415</v>
      </c>
      <c r="D109" s="477"/>
      <c r="E109" s="477"/>
      <c r="F109" s="455"/>
      <c r="G109" s="455"/>
      <c r="H109" s="455"/>
    </row>
    <row r="110" spans="1:8" x14ac:dyDescent="0.2">
      <c r="A110" s="520" t="s">
        <v>134</v>
      </c>
      <c r="B110" s="477"/>
      <c r="C110" s="520" t="s">
        <v>416</v>
      </c>
      <c r="D110" s="477"/>
      <c r="E110" s="477"/>
      <c r="F110" s="455"/>
      <c r="G110" s="455"/>
      <c r="H110" s="455"/>
    </row>
    <row r="111" spans="1:8" x14ac:dyDescent="0.2">
      <c r="A111" s="520" t="s">
        <v>108</v>
      </c>
      <c r="B111" s="477"/>
      <c r="C111" s="520" t="s">
        <v>417</v>
      </c>
      <c r="D111" s="477"/>
      <c r="E111" s="477"/>
      <c r="F111" s="455"/>
      <c r="G111" s="455"/>
      <c r="H111" s="455"/>
    </row>
    <row r="112" spans="1:8" x14ac:dyDescent="0.2">
      <c r="A112" s="520"/>
      <c r="B112" s="477"/>
      <c r="C112" s="477"/>
      <c r="D112" s="477"/>
      <c r="E112" s="477"/>
      <c r="F112" s="455"/>
      <c r="G112" s="455"/>
      <c r="H112" s="455"/>
    </row>
    <row r="113" spans="1:8" ht="12.75" x14ac:dyDescent="0.2">
      <c r="A113" s="522" t="s">
        <v>135</v>
      </c>
      <c r="B113" s="477"/>
      <c r="C113" s="477"/>
      <c r="D113" s="477"/>
      <c r="E113" s="477"/>
      <c r="F113" s="477"/>
      <c r="G113" s="477"/>
      <c r="H113" s="477"/>
    </row>
    <row r="114" spans="1:8" ht="30" customHeight="1" x14ac:dyDescent="0.2">
      <c r="A114" s="520" t="s">
        <v>418</v>
      </c>
      <c r="B114" s="477"/>
      <c r="C114" s="477"/>
      <c r="D114" s="477"/>
      <c r="E114" s="477"/>
      <c r="F114" s="455"/>
      <c r="G114" s="455"/>
      <c r="H114" s="455"/>
    </row>
    <row r="115" spans="1:8" x14ac:dyDescent="0.2">
      <c r="A115" s="521" t="s">
        <v>410</v>
      </c>
      <c r="B115" s="477"/>
      <c r="C115" s="521" t="s">
        <v>411</v>
      </c>
      <c r="D115" s="477"/>
      <c r="E115" s="477"/>
      <c r="F115" s="455"/>
      <c r="G115" s="455"/>
      <c r="H115" s="455"/>
    </row>
    <row r="116" spans="1:8" x14ac:dyDescent="0.2">
      <c r="A116" s="520" t="s">
        <v>136</v>
      </c>
      <c r="B116" s="477"/>
      <c r="C116" s="520" t="s">
        <v>419</v>
      </c>
      <c r="D116" s="477"/>
      <c r="E116" s="477"/>
      <c r="F116" s="455"/>
      <c r="G116" s="455"/>
      <c r="H116" s="455"/>
    </row>
    <row r="117" spans="1:8" x14ac:dyDescent="0.2">
      <c r="A117" s="520" t="s">
        <v>420</v>
      </c>
      <c r="B117" s="477"/>
      <c r="C117" s="520" t="s">
        <v>421</v>
      </c>
      <c r="D117" s="477"/>
      <c r="E117" s="477"/>
      <c r="F117" s="455"/>
      <c r="G117" s="455"/>
      <c r="H117" s="455"/>
    </row>
    <row r="118" spans="1:8" x14ac:dyDescent="0.2">
      <c r="A118" s="520" t="s">
        <v>422</v>
      </c>
      <c r="B118" s="477"/>
      <c r="C118" s="520" t="s">
        <v>423</v>
      </c>
      <c r="D118" s="477"/>
      <c r="E118" s="477"/>
      <c r="F118" s="455"/>
      <c r="G118" s="455"/>
      <c r="H118" s="455"/>
    </row>
    <row r="119" spans="1:8" x14ac:dyDescent="0.2">
      <c r="A119" s="520" t="s">
        <v>118</v>
      </c>
      <c r="B119" s="477"/>
      <c r="C119" s="520" t="s">
        <v>424</v>
      </c>
      <c r="D119" s="477"/>
      <c r="E119" s="477"/>
      <c r="F119" s="455"/>
      <c r="G119" s="455"/>
      <c r="H119" s="455"/>
    </row>
    <row r="120" spans="1:8" x14ac:dyDescent="0.2">
      <c r="A120" s="520"/>
      <c r="B120" s="477"/>
      <c r="C120" s="477"/>
      <c r="D120" s="477"/>
      <c r="E120" s="477"/>
      <c r="F120" s="455"/>
      <c r="G120" s="455"/>
      <c r="H120" s="455"/>
    </row>
    <row r="121" spans="1:8" ht="72" customHeight="1" x14ac:dyDescent="0.2">
      <c r="A121" s="520" t="s">
        <v>425</v>
      </c>
      <c r="B121" s="477"/>
      <c r="C121" s="477"/>
      <c r="D121" s="477"/>
      <c r="E121" s="477"/>
      <c r="F121" s="460"/>
      <c r="G121" s="461"/>
      <c r="H121" s="461"/>
    </row>
    <row r="122" spans="1:8" x14ac:dyDescent="0.2">
      <c r="A122" s="520"/>
      <c r="B122" s="477"/>
      <c r="C122" s="477"/>
      <c r="D122" s="477"/>
      <c r="E122" s="477"/>
      <c r="F122" s="455"/>
      <c r="G122" s="455"/>
      <c r="H122" s="455"/>
    </row>
    <row r="123" spans="1:8" ht="26.25" customHeight="1" x14ac:dyDescent="0.2">
      <c r="A123" s="524" t="s">
        <v>426</v>
      </c>
      <c r="B123" s="477"/>
      <c r="C123" s="477"/>
      <c r="D123" s="477"/>
      <c r="E123" s="477"/>
      <c r="F123" s="477"/>
      <c r="G123" s="477"/>
      <c r="H123" s="477"/>
    </row>
    <row r="124" spans="1:8" ht="84" customHeight="1" x14ac:dyDescent="0.2">
      <c r="A124" s="520" t="s">
        <v>427</v>
      </c>
      <c r="B124" s="477"/>
      <c r="C124" s="477"/>
      <c r="D124" s="477"/>
      <c r="E124" s="477"/>
      <c r="F124" s="477"/>
      <c r="G124" s="477"/>
      <c r="H124" s="477"/>
    </row>
    <row r="125" spans="1:8" ht="60" customHeight="1" x14ac:dyDescent="0.2">
      <c r="A125" s="520" t="s">
        <v>428</v>
      </c>
      <c r="B125" s="477"/>
      <c r="C125" s="477"/>
      <c r="D125" s="477"/>
      <c r="E125" s="477"/>
      <c r="F125" s="477"/>
      <c r="G125" s="477"/>
      <c r="H125" s="477"/>
    </row>
    <row r="126" spans="1:8" ht="60" customHeight="1" x14ac:dyDescent="0.2">
      <c r="A126" s="520" t="s">
        <v>429</v>
      </c>
      <c r="B126" s="477"/>
      <c r="C126" s="477"/>
      <c r="D126" s="477"/>
      <c r="E126" s="477"/>
      <c r="F126" s="477"/>
      <c r="G126" s="477"/>
      <c r="H126" s="477"/>
    </row>
    <row r="127" spans="1:8" ht="41.25" customHeight="1" x14ac:dyDescent="0.2">
      <c r="A127" s="520" t="s">
        <v>430</v>
      </c>
      <c r="B127" s="477"/>
      <c r="C127" s="477"/>
      <c r="D127" s="477"/>
      <c r="E127" s="477"/>
      <c r="F127" s="477"/>
      <c r="G127" s="477"/>
      <c r="H127" s="477"/>
    </row>
    <row r="128" spans="1:8" ht="363" customHeight="1" x14ac:dyDescent="0.2">
      <c r="A128" s="520"/>
      <c r="B128" s="477"/>
      <c r="C128" s="477"/>
      <c r="D128" s="477"/>
      <c r="E128" s="477"/>
      <c r="F128" s="477"/>
      <c r="G128" s="477"/>
      <c r="H128" s="477"/>
    </row>
    <row r="129" spans="1:8" x14ac:dyDescent="0.2">
      <c r="A129" s="520"/>
      <c r="B129" s="477"/>
      <c r="C129" s="477"/>
      <c r="D129" s="477"/>
      <c r="E129" s="477"/>
      <c r="F129" s="455"/>
      <c r="G129" s="455"/>
      <c r="H129" s="455"/>
    </row>
    <row r="130" spans="1:8" x14ac:dyDescent="0.2">
      <c r="A130" s="520"/>
      <c r="B130" s="477"/>
      <c r="C130" s="477"/>
      <c r="D130" s="477"/>
      <c r="E130" s="477"/>
      <c r="F130" s="455"/>
      <c r="G130" s="455"/>
      <c r="H130" s="455"/>
    </row>
    <row r="131" spans="1:8" x14ac:dyDescent="0.2">
      <c r="A131" s="520"/>
      <c r="B131" s="477"/>
      <c r="C131" s="477"/>
      <c r="D131" s="477"/>
      <c r="E131" s="477"/>
      <c r="F131" s="455"/>
      <c r="G131" s="455"/>
      <c r="H131" s="455"/>
    </row>
    <row r="132" spans="1:8" x14ac:dyDescent="0.2">
      <c r="A132" s="527"/>
      <c r="B132" s="477"/>
      <c r="C132" s="477"/>
      <c r="D132" s="477"/>
      <c r="E132" s="477"/>
      <c r="F132" s="455"/>
      <c r="G132" s="455"/>
      <c r="H132" s="455"/>
    </row>
    <row r="133" spans="1:8" x14ac:dyDescent="0.2">
      <c r="A133" s="520"/>
      <c r="B133" s="477"/>
      <c r="C133" s="477"/>
      <c r="D133" s="477"/>
      <c r="E133" s="477"/>
      <c r="F133" s="455"/>
      <c r="G133" s="455"/>
      <c r="H133" s="455"/>
    </row>
    <row r="134" spans="1:8" x14ac:dyDescent="0.2">
      <c r="A134" s="520"/>
      <c r="B134" s="477"/>
      <c r="C134" s="477"/>
      <c r="D134" s="477"/>
      <c r="E134" s="477"/>
      <c r="F134" s="455"/>
      <c r="G134" s="455"/>
      <c r="H134" s="455"/>
    </row>
    <row r="135" spans="1:8" ht="30.75" customHeight="1" x14ac:dyDescent="0.2">
      <c r="A135" s="528"/>
      <c r="B135" s="529"/>
      <c r="C135" s="529"/>
      <c r="D135" s="529"/>
      <c r="E135" s="530"/>
      <c r="F135" s="473"/>
      <c r="G135" s="473"/>
      <c r="H135" s="473"/>
    </row>
    <row r="136" spans="1:8" ht="44.25" customHeight="1" x14ac:dyDescent="0.2">
      <c r="A136" s="531"/>
      <c r="B136" s="477"/>
      <c r="C136" s="477"/>
      <c r="D136" s="477"/>
      <c r="E136" s="532"/>
      <c r="F136" s="455"/>
      <c r="G136" s="455"/>
      <c r="H136" s="455"/>
    </row>
    <row r="137" spans="1:8" ht="30" customHeight="1" x14ac:dyDescent="0.2">
      <c r="A137" s="525"/>
      <c r="B137" s="526"/>
      <c r="C137" s="526"/>
      <c r="D137" s="526"/>
      <c r="E137" s="474"/>
      <c r="F137" s="475"/>
      <c r="G137" s="475"/>
      <c r="H137" s="475"/>
    </row>
    <row r="138" spans="1:8" x14ac:dyDescent="0.2">
      <c r="A138" s="520"/>
      <c r="B138" s="477"/>
      <c r="C138" s="477"/>
      <c r="D138" s="477"/>
      <c r="E138" s="477"/>
      <c r="F138" s="455"/>
      <c r="G138" s="455"/>
      <c r="H138" s="455"/>
    </row>
    <row r="139" spans="1:8" x14ac:dyDescent="0.2">
      <c r="A139" s="520"/>
      <c r="B139" s="477"/>
      <c r="C139" s="477"/>
      <c r="D139" s="477"/>
      <c r="E139" s="477"/>
      <c r="F139" s="455"/>
      <c r="G139" s="455"/>
      <c r="H139" s="455"/>
    </row>
  </sheetData>
  <mergeCells count="140">
    <mergeCell ref="A89:E89"/>
    <mergeCell ref="A90:E90"/>
    <mergeCell ref="A91:E91"/>
    <mergeCell ref="A92:H92"/>
    <mergeCell ref="A93:E93"/>
    <mergeCell ref="A94:E94"/>
    <mergeCell ref="A95:E95"/>
    <mergeCell ref="A96:E96"/>
    <mergeCell ref="A97:E97"/>
    <mergeCell ref="A80:E80"/>
    <mergeCell ref="A81:H81"/>
    <mergeCell ref="A82:E82"/>
    <mergeCell ref="A83:E83"/>
    <mergeCell ref="A84:H84"/>
    <mergeCell ref="A85:E85"/>
    <mergeCell ref="A86:E86"/>
    <mergeCell ref="A87:E87"/>
    <mergeCell ref="A88:H88"/>
    <mergeCell ref="A71:E71"/>
    <mergeCell ref="A72:E72"/>
    <mergeCell ref="A73:H73"/>
    <mergeCell ref="A74:E74"/>
    <mergeCell ref="A75:E75"/>
    <mergeCell ref="A76:E76"/>
    <mergeCell ref="A77:E77"/>
    <mergeCell ref="A78:E78"/>
    <mergeCell ref="A79:H79"/>
    <mergeCell ref="A129:E129"/>
    <mergeCell ref="A137:D137"/>
    <mergeCell ref="A138:E138"/>
    <mergeCell ref="A139:E139"/>
    <mergeCell ref="A130:E130"/>
    <mergeCell ref="A131:E131"/>
    <mergeCell ref="A132:E132"/>
    <mergeCell ref="A133:E133"/>
    <mergeCell ref="A134:E134"/>
    <mergeCell ref="A135:E135"/>
    <mergeCell ref="A136:E136"/>
    <mergeCell ref="A120:E120"/>
    <mergeCell ref="A121:E121"/>
    <mergeCell ref="A122:E122"/>
    <mergeCell ref="A123:H123"/>
    <mergeCell ref="A124:H124"/>
    <mergeCell ref="A125:H125"/>
    <mergeCell ref="A126:H126"/>
    <mergeCell ref="A127:H127"/>
    <mergeCell ref="A128:H128"/>
    <mergeCell ref="A115:B115"/>
    <mergeCell ref="C115:E115"/>
    <mergeCell ref="A116:B116"/>
    <mergeCell ref="C116:E116"/>
    <mergeCell ref="A117:B117"/>
    <mergeCell ref="C117:E117"/>
    <mergeCell ref="A118:B118"/>
    <mergeCell ref="C118:E118"/>
    <mergeCell ref="A119:B119"/>
    <mergeCell ref="C119:E119"/>
    <mergeCell ref="A104:E104"/>
    <mergeCell ref="A105:H105"/>
    <mergeCell ref="A106:E106"/>
    <mergeCell ref="A107:B107"/>
    <mergeCell ref="C107:E107"/>
    <mergeCell ref="A108:B108"/>
    <mergeCell ref="C108:E108"/>
    <mergeCell ref="C109:E109"/>
    <mergeCell ref="A114:E114"/>
    <mergeCell ref="A109:B109"/>
    <mergeCell ref="A110:B110"/>
    <mergeCell ref="C110:E110"/>
    <mergeCell ref="A111:B111"/>
    <mergeCell ref="C111:E111"/>
    <mergeCell ref="A112:E112"/>
    <mergeCell ref="A113:H113"/>
    <mergeCell ref="A42:H42"/>
    <mergeCell ref="A43:E43"/>
    <mergeCell ref="A44:E44"/>
    <mergeCell ref="A98:E98"/>
    <mergeCell ref="A99:E99"/>
    <mergeCell ref="A100:E100"/>
    <mergeCell ref="A101:E101"/>
    <mergeCell ref="A102:E102"/>
    <mergeCell ref="A103:H103"/>
    <mergeCell ref="A45:H45"/>
    <mergeCell ref="A46:E46"/>
    <mergeCell ref="A47:H47"/>
    <mergeCell ref="A53:E53"/>
    <mergeCell ref="A54:H54"/>
    <mergeCell ref="A61:F61"/>
    <mergeCell ref="A62:E62"/>
    <mergeCell ref="A63:E63"/>
    <mergeCell ref="A64:H64"/>
    <mergeCell ref="A65:E65"/>
    <mergeCell ref="A66:E66"/>
    <mergeCell ref="A67:H67"/>
    <mergeCell ref="A68:E68"/>
    <mergeCell ref="A69:E69"/>
    <mergeCell ref="A70:H70"/>
    <mergeCell ref="A33:F33"/>
    <mergeCell ref="A34:H34"/>
    <mergeCell ref="A35:E35"/>
    <mergeCell ref="A36:E36"/>
    <mergeCell ref="A37:E37"/>
    <mergeCell ref="A38:H38"/>
    <mergeCell ref="A39:E39"/>
    <mergeCell ref="A40:E40"/>
    <mergeCell ref="A41:B41"/>
    <mergeCell ref="C41:D41"/>
    <mergeCell ref="E41:F41"/>
    <mergeCell ref="A24:H24"/>
    <mergeCell ref="A25:E25"/>
    <mergeCell ref="A27:B27"/>
    <mergeCell ref="E27:F27"/>
    <mergeCell ref="A28:E28"/>
    <mergeCell ref="A29:H29"/>
    <mergeCell ref="A30:E30"/>
    <mergeCell ref="A31:E31"/>
    <mergeCell ref="A32:F32"/>
    <mergeCell ref="A13:H13"/>
    <mergeCell ref="A14:H14"/>
    <mergeCell ref="A15:E15"/>
    <mergeCell ref="A16:E16"/>
    <mergeCell ref="A17:F17"/>
    <mergeCell ref="A20:E20"/>
    <mergeCell ref="A21:H21"/>
    <mergeCell ref="A22:E22"/>
    <mergeCell ref="A23:F23"/>
    <mergeCell ref="A8:C8"/>
    <mergeCell ref="A9:C9"/>
    <mergeCell ref="A10:C10"/>
    <mergeCell ref="A11:C11"/>
    <mergeCell ref="A1:E1"/>
    <mergeCell ref="A2:D2"/>
    <mergeCell ref="A3:H3"/>
    <mergeCell ref="A6:G6"/>
    <mergeCell ref="A7:C7"/>
    <mergeCell ref="D7:H7"/>
    <mergeCell ref="D8:H8"/>
    <mergeCell ref="D9:H9"/>
    <mergeCell ref="D10:H10"/>
    <mergeCell ref="D11:H1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Финансовая модель</vt:lpstr>
      <vt:lpstr>ДДС</vt:lpstr>
      <vt:lpstr>Планирование запасов</vt:lpstr>
      <vt:lpstr>Финмодель c кредитом</vt:lpstr>
      <vt:lpstr>Расчетный лист</vt:lpstr>
      <vt:lpstr>Записка к финмодели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Alexey Sherbakov</dc:creator>
  <cp:lastModifiedBy>Alexey Sherbakov</cp:lastModifiedBy>
  <dcterms:modified xsi:type="dcterms:W3CDTF">2026-07-08T18:54:04Z</dcterms:modified>
</cp:coreProperties>
</file>